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ddmdir\Jaarverslag CDZ\Jaarverslag 2022\"/>
    </mc:Choice>
  </mc:AlternateContent>
  <xr:revisionPtr revIDLastSave="0" documentId="13_ncr:1_{ED527934-803A-4FF6-9404-A334414F167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alans - actief" sheetId="1" r:id="rId1"/>
    <sheet name="Balans -passief" sheetId="2" r:id="rId2"/>
    <sheet name="Resultatenreken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8" i="3" l="1"/>
  <c r="J85" i="3"/>
  <c r="J84" i="3"/>
  <c r="J83" i="3"/>
  <c r="O10" i="1"/>
  <c r="J68" i="3"/>
  <c r="J54" i="3"/>
  <c r="J47" i="3"/>
  <c r="J37" i="3"/>
  <c r="J33" i="3"/>
  <c r="J24" i="3"/>
  <c r="J11" i="3"/>
  <c r="J7" i="3"/>
  <c r="O42" i="1"/>
  <c r="O31" i="1"/>
  <c r="O29" i="1" s="1"/>
  <c r="O24" i="1"/>
  <c r="O19" i="1"/>
  <c r="O17" i="1" s="1"/>
  <c r="O39" i="2"/>
  <c r="O30" i="2"/>
  <c r="O21" i="2"/>
  <c r="O17" i="2"/>
  <c r="O8" i="2"/>
  <c r="O7" i="2" s="1"/>
  <c r="N24" i="1"/>
  <c r="N19" i="1"/>
  <c r="N8" i="2"/>
  <c r="N7" i="2" s="1"/>
  <c r="I68" i="3"/>
  <c r="I85" i="3" s="1"/>
  <c r="I47" i="3"/>
  <c r="I37" i="3"/>
  <c r="I24" i="3"/>
  <c r="J58" i="3" l="1"/>
  <c r="J19" i="3"/>
  <c r="O28" i="2"/>
  <c r="O20" i="2" s="1"/>
  <c r="O47" i="2" s="1"/>
  <c r="O27" i="1"/>
  <c r="O8" i="1"/>
  <c r="I11" i="3"/>
  <c r="I54" i="3"/>
  <c r="I33" i="3"/>
  <c r="I7" i="3"/>
  <c r="N39" i="2"/>
  <c r="N30" i="2"/>
  <c r="N21" i="2"/>
  <c r="N17" i="2"/>
  <c r="N42" i="1"/>
  <c r="N31" i="1"/>
  <c r="N29" i="1" s="1"/>
  <c r="N17" i="1"/>
  <c r="N10" i="1"/>
  <c r="I19" i="3" l="1"/>
  <c r="I83" i="3" s="1"/>
  <c r="J95" i="3"/>
  <c r="J103" i="3" s="1"/>
  <c r="O49" i="1"/>
  <c r="N27" i="1"/>
  <c r="I58" i="3"/>
  <c r="I84" i="3" s="1"/>
  <c r="N28" i="2"/>
  <c r="N20" i="2" s="1"/>
  <c r="N47" i="2" s="1"/>
  <c r="N8" i="1"/>
  <c r="H68" i="3"/>
  <c r="H85" i="3" s="1"/>
  <c r="H54" i="3"/>
  <c r="H47" i="3"/>
  <c r="H37" i="3"/>
  <c r="H33" i="3"/>
  <c r="H24" i="3"/>
  <c r="H11" i="3"/>
  <c r="H7" i="3"/>
  <c r="M39" i="2"/>
  <c r="M30" i="2"/>
  <c r="M21" i="2"/>
  <c r="M17" i="2"/>
  <c r="M8" i="2"/>
  <c r="M7" i="2" s="1"/>
  <c r="L8" i="2"/>
  <c r="M42" i="1"/>
  <c r="M31" i="1"/>
  <c r="M24" i="1"/>
  <c r="M19" i="1"/>
  <c r="M10" i="1"/>
  <c r="I88" i="3" l="1"/>
  <c r="I95" i="3" s="1"/>
  <c r="I103" i="3" s="1"/>
  <c r="N49" i="1"/>
  <c r="H19" i="3"/>
  <c r="H83" i="3" s="1"/>
  <c r="M17" i="1"/>
  <c r="M8" i="1" s="1"/>
  <c r="M29" i="1"/>
  <c r="H58" i="3"/>
  <c r="H84" i="3" s="1"/>
  <c r="M28" i="2"/>
  <c r="M20" i="2" s="1"/>
  <c r="M47" i="2" s="1"/>
  <c r="G68" i="3"/>
  <c r="G47" i="3"/>
  <c r="G37" i="3"/>
  <c r="G33" i="3"/>
  <c r="G11" i="3"/>
  <c r="G7" i="3"/>
  <c r="L7" i="2"/>
  <c r="K8" i="2"/>
  <c r="K7" i="2" s="1"/>
  <c r="K21" i="2"/>
  <c r="K30" i="2"/>
  <c r="L30" i="2"/>
  <c r="K10" i="1"/>
  <c r="L10" i="1"/>
  <c r="H88" i="3" l="1"/>
  <c r="H95" i="3" s="1"/>
  <c r="H103" i="3" s="1"/>
  <c r="G19" i="3"/>
  <c r="M27" i="1"/>
  <c r="M49" i="1" l="1"/>
  <c r="F56" i="3"/>
  <c r="F55" i="3"/>
  <c r="G54" i="3"/>
  <c r="G85" i="3"/>
  <c r="G24" i="3"/>
  <c r="G58" i="3" l="1"/>
  <c r="G84" i="3" s="1"/>
  <c r="F54" i="3"/>
  <c r="G83" i="3"/>
  <c r="L42" i="1"/>
  <c r="L31" i="1"/>
  <c r="L29" i="1" s="1"/>
  <c r="L24" i="1"/>
  <c r="L19" i="1"/>
  <c r="L17" i="1" s="1"/>
  <c r="L39" i="2"/>
  <c r="L28" i="2" s="1"/>
  <c r="L21" i="2"/>
  <c r="L17" i="2"/>
  <c r="G88" i="3" l="1"/>
  <c r="G95" i="3" s="1"/>
  <c r="G103" i="3" s="1"/>
  <c r="L20" i="2"/>
  <c r="L47" i="2" s="1"/>
  <c r="L8" i="1"/>
  <c r="L27" i="1"/>
  <c r="L49" i="1" l="1"/>
  <c r="F96" i="3" l="1"/>
  <c r="F100" i="3"/>
  <c r="F98" i="3"/>
  <c r="F94" i="3"/>
  <c r="F76" i="3"/>
  <c r="F75" i="3"/>
  <c r="F64" i="3"/>
  <c r="F63" i="3"/>
  <c r="F36" i="3"/>
  <c r="F34" i="3"/>
  <c r="F35" i="3"/>
  <c r="F32" i="3"/>
  <c r="F31" i="3"/>
  <c r="F29" i="3"/>
  <c r="F28" i="3"/>
  <c r="F27" i="3"/>
  <c r="F8" i="3"/>
  <c r="F33" i="3" l="1"/>
  <c r="F7" i="3"/>
  <c r="F24" i="3"/>
  <c r="F58" i="3" l="1"/>
  <c r="K42" i="1"/>
  <c r="K24" i="1"/>
  <c r="K31" i="1"/>
  <c r="K29" i="1" s="1"/>
  <c r="K27" i="1" l="1"/>
  <c r="K19" i="1"/>
  <c r="K17" i="1" s="1"/>
  <c r="K8" i="1" s="1"/>
  <c r="K49" i="1" l="1"/>
  <c r="F73" i="3"/>
  <c r="F68" i="3"/>
  <c r="F11" i="3"/>
  <c r="K39" i="2"/>
  <c r="K28" i="2" s="1"/>
  <c r="K20" i="2" s="1"/>
  <c r="K17" i="2"/>
  <c r="K47" i="2" l="1"/>
  <c r="F19" i="3"/>
  <c r="F85" i="3"/>
  <c r="F78" i="3"/>
  <c r="F84" i="3"/>
  <c r="F86" i="3" l="1"/>
  <c r="F83" i="3"/>
  <c r="F88" i="3" l="1"/>
  <c r="F95" i="3" l="1"/>
  <c r="F103" i="3" l="1"/>
</calcChain>
</file>

<file path=xl/sharedStrings.xml><?xml version="1.0" encoding="utf-8"?>
<sst xmlns="http://schemas.openxmlformats.org/spreadsheetml/2006/main" count="333" uniqueCount="253">
  <si>
    <t>SECTIE 1 : BALANS</t>
  </si>
  <si>
    <t>ACTIEF</t>
  </si>
  <si>
    <t>Codes</t>
  </si>
  <si>
    <t>Vaste activa</t>
  </si>
  <si>
    <t>I.</t>
  </si>
  <si>
    <t>Oprichtingskosten</t>
  </si>
  <si>
    <t>II.</t>
  </si>
  <si>
    <t>Immateriële vaste activa</t>
  </si>
  <si>
    <t>III.</t>
  </si>
  <si>
    <t>Materiële vaste activa</t>
  </si>
  <si>
    <t>22/26</t>
  </si>
  <si>
    <t>A. Terreinen en gebouwen</t>
  </si>
  <si>
    <t>B. Installaties, machines en uitrusting</t>
  </si>
  <si>
    <t>C. Meubilair, materieel en rollend materieel</t>
  </si>
  <si>
    <t>D. Leasing en soortgelijke rechten</t>
  </si>
  <si>
    <t>E. Overige materiële vaste activa, vaste activa in aanbouw</t>
  </si>
  <si>
    <t xml:space="preserve">     en vooruitbetalingen</t>
  </si>
  <si>
    <t xml:space="preserve">IV. </t>
  </si>
  <si>
    <t>Financiële vaste activa</t>
  </si>
  <si>
    <t xml:space="preserve">A.Verbonden entiteiten en entiteiten waarmee een </t>
  </si>
  <si>
    <t xml:space="preserve">    samenwerkingsakkoord bestaat</t>
  </si>
  <si>
    <t>280/1</t>
  </si>
  <si>
    <t>1. Deelnemingen</t>
  </si>
  <si>
    <t>2. Vorderingen</t>
  </si>
  <si>
    <t xml:space="preserve">B.Andere financiële vaste activa, overige vorderingen en </t>
  </si>
  <si>
    <t xml:space="preserve">    borgtochten in contanten</t>
  </si>
  <si>
    <t>284/8</t>
  </si>
  <si>
    <t xml:space="preserve">V. </t>
  </si>
  <si>
    <t>Vorderingen op meer dan één jaar</t>
  </si>
  <si>
    <t>A. Vorderingen op mutualistische entiteiten</t>
  </si>
  <si>
    <t>291/5</t>
  </si>
  <si>
    <t>B. Overige vorderingen</t>
  </si>
  <si>
    <t>298/9</t>
  </si>
  <si>
    <t>Vlottende activa</t>
  </si>
  <si>
    <t>31/58</t>
  </si>
  <si>
    <t xml:space="preserve">VI.  </t>
  </si>
  <si>
    <t>Voorraden</t>
  </si>
  <si>
    <t xml:space="preserve">VII. </t>
  </si>
  <si>
    <t>Vorderingen op ten hoogste één jaar</t>
  </si>
  <si>
    <t>40/47</t>
  </si>
  <si>
    <t>A. Vorderingen uit prestaties, toelagen, bijdragen en</t>
  </si>
  <si>
    <t xml:space="preserve">     ingevolge mutaties</t>
  </si>
  <si>
    <t>1. Vorderingen uit prestaties</t>
  </si>
  <si>
    <t>400/2</t>
  </si>
  <si>
    <t>2. Te ontvangen overheidssubsidies en -tussenkomsten</t>
  </si>
  <si>
    <t>3. Te innen bijdragen</t>
  </si>
  <si>
    <t>4. Vooruitbetalingen aan leden</t>
  </si>
  <si>
    <t>5. Overige vorderingen</t>
  </si>
  <si>
    <t>6. Voorhuwelijkssparen : vorderingen ingevolge mutaties</t>
  </si>
  <si>
    <t>B. Vorderingen op de verplichte verzekering</t>
  </si>
  <si>
    <t>C. Vorderingen op mutualistische entiteiten</t>
  </si>
  <si>
    <t>471/4</t>
  </si>
  <si>
    <t>D. Overige vorderingen</t>
  </si>
  <si>
    <t>E. Te verwerken uitgaven</t>
  </si>
  <si>
    <t xml:space="preserve">VIII. </t>
  </si>
  <si>
    <t>Geldbeleggingen</t>
  </si>
  <si>
    <t>51/53</t>
  </si>
  <si>
    <t>A. Vastrentende effecten</t>
  </si>
  <si>
    <t>B. Termijnrekeningen bij kredietinstellingen</t>
  </si>
  <si>
    <t>C. Overige geldbeleggingen</t>
  </si>
  <si>
    <t xml:space="preserve">IX. </t>
  </si>
  <si>
    <t>Liquide middelen</t>
  </si>
  <si>
    <t>54/58</t>
  </si>
  <si>
    <t xml:space="preserve">X.  </t>
  </si>
  <si>
    <t>Overlopende rekeningen</t>
  </si>
  <si>
    <t>490/1</t>
  </si>
  <si>
    <t>Totaal van de activa</t>
  </si>
  <si>
    <t>20/58</t>
  </si>
  <si>
    <t xml:space="preserve"> </t>
  </si>
  <si>
    <t>SECTIE 1 : BALANS (vervolg)</t>
  </si>
  <si>
    <t>PASSIEF</t>
  </si>
  <si>
    <t>Eigen vermogen</t>
  </si>
  <si>
    <t>13/14</t>
  </si>
  <si>
    <t xml:space="preserve">I. </t>
  </si>
  <si>
    <t>Werkkapitaal</t>
  </si>
  <si>
    <t>1313/95</t>
  </si>
  <si>
    <t xml:space="preserve">II. </t>
  </si>
  <si>
    <t>(-)</t>
  </si>
  <si>
    <t>1413/95</t>
  </si>
  <si>
    <t>Voorzieningen</t>
  </si>
  <si>
    <t xml:space="preserve">III. </t>
  </si>
  <si>
    <t>Technische voorzieningen betreffende het voorhuwelijkssparen</t>
  </si>
  <si>
    <t>Voorzieningen voor risico's en kosten</t>
  </si>
  <si>
    <t>165/9</t>
  </si>
  <si>
    <t>Schulden</t>
  </si>
  <si>
    <t>17/49</t>
  </si>
  <si>
    <t>Schulden op meer dan één jaar</t>
  </si>
  <si>
    <t>17/19</t>
  </si>
  <si>
    <t>A. Financiële schulden</t>
  </si>
  <si>
    <t>172/4</t>
  </si>
  <si>
    <t>B. Voorhuwelijkssparen - gestorte kapitalen</t>
  </si>
  <si>
    <t xml:space="preserve">C. Schulden tegenover mutualistische entiteiten </t>
  </si>
  <si>
    <t>D. Overige schulden op meer dan één jaar</t>
  </si>
  <si>
    <t>175/9</t>
  </si>
  <si>
    <t xml:space="preserve">     (behoudens schulden inzake voorhuwelijkssparen en</t>
  </si>
  <si>
    <t xml:space="preserve">     schulden t.a.v. mutualistische entiteiten)</t>
  </si>
  <si>
    <t xml:space="preserve">VI. </t>
  </si>
  <si>
    <t>Schulden op ten hoogste één jaar</t>
  </si>
  <si>
    <t>43/48</t>
  </si>
  <si>
    <t>B. Schulden uit prestaties, bijdragen en ingevolge mutaties</t>
  </si>
  <si>
    <t>1. Schulden uit prestaties</t>
  </si>
  <si>
    <t>440/5</t>
  </si>
  <si>
    <t xml:space="preserve">    (behoudens het voorhuwelijkssparen)</t>
  </si>
  <si>
    <t>2. Terug te betalen bijdragen</t>
  </si>
  <si>
    <t>3. Te verwerken bijdragen</t>
  </si>
  <si>
    <t>4. Vervallen kapitalen inzake voorhuwelijkssparen</t>
  </si>
  <si>
    <t>5. Voorhuwelijkssparen : schulden ingevolge mutaties</t>
  </si>
  <si>
    <t>6. Overige schulden</t>
  </si>
  <si>
    <t>C. Schulden met betrekking tot belastingen, bezoldigingen en</t>
  </si>
  <si>
    <t xml:space="preserve">     sociale lasten</t>
  </si>
  <si>
    <t>1. Belastingen</t>
  </si>
  <si>
    <t>451/3</t>
  </si>
  <si>
    <t>2. Bezoldigingen en sociale lasten</t>
  </si>
  <si>
    <t>454/9</t>
  </si>
  <si>
    <t>D. Schulden tegenover de verplichte verzekering</t>
  </si>
  <si>
    <t>E. Schulden tegenover mutualistische entiteiten</t>
  </si>
  <si>
    <t xml:space="preserve">471/4  </t>
  </si>
  <si>
    <t>F. Overige schulden</t>
  </si>
  <si>
    <t>492/3</t>
  </si>
  <si>
    <t>Totaal van de passiva</t>
  </si>
  <si>
    <t>13/49</t>
  </si>
  <si>
    <t>SECTIE 2  : RESULTATENREKENING</t>
  </si>
  <si>
    <t>TECHNISCHE RESULTATEN</t>
  </si>
  <si>
    <t>Bijdragen</t>
  </si>
  <si>
    <t>A.</t>
  </si>
  <si>
    <t>Gevorderde bijdragen</t>
  </si>
  <si>
    <t>(+)</t>
  </si>
  <si>
    <t>B.</t>
  </si>
  <si>
    <t>Waardeverminderingen, minderwaarden en meerwaarden</t>
  </si>
  <si>
    <t>(-) (+)</t>
  </si>
  <si>
    <t>Overheidstoelagen</t>
  </si>
  <si>
    <t>Prestaties</t>
  </si>
  <si>
    <t>Prestaties aan leden</t>
  </si>
  <si>
    <t>Overdrachten aan verbonden entiteiten en entiteiten waarmee</t>
  </si>
  <si>
    <t>een samenwerkingsakkoord bestaat</t>
  </si>
  <si>
    <t>IV.</t>
  </si>
  <si>
    <t>Technische voorzieningen</t>
  </si>
  <si>
    <t>607, 707</t>
  </si>
  <si>
    <t>V.</t>
  </si>
  <si>
    <t>Overige technische opbrengsten</t>
  </si>
  <si>
    <t>703/5, 709</t>
  </si>
  <si>
    <t>VI.</t>
  </si>
  <si>
    <t>Overige technische kosten</t>
  </si>
  <si>
    <t>605, 609</t>
  </si>
  <si>
    <t>Technische resultaten (I tot VI)</t>
  </si>
  <si>
    <t/>
  </si>
  <si>
    <t>70/60</t>
  </si>
  <si>
    <t>WERKINGSRESULTATEN</t>
  </si>
  <si>
    <t>VIII.</t>
  </si>
  <si>
    <t>Administratieve bijdragen</t>
  </si>
  <si>
    <t>X.</t>
  </si>
  <si>
    <t>Diensten, diverse goederen en kosten</t>
  </si>
  <si>
    <t>XI.</t>
  </si>
  <si>
    <t>Bezoldigingen, sociale lasten en pensioenen</t>
  </si>
  <si>
    <t>(-)(+)</t>
  </si>
  <si>
    <t>XII.</t>
  </si>
  <si>
    <t>Afschrijvingen en waardeverminderingen op vaste activa</t>
  </si>
  <si>
    <t>630, 6391</t>
  </si>
  <si>
    <t>XIII.</t>
  </si>
  <si>
    <t xml:space="preserve">Waardeverminderingen op vlottende activa andere dan </t>
  </si>
  <si>
    <t>vorderingen uit bijdragen</t>
  </si>
  <si>
    <t>631/3, 6392</t>
  </si>
  <si>
    <t>XIV.</t>
  </si>
  <si>
    <t>635/7</t>
  </si>
  <si>
    <t>XV.</t>
  </si>
  <si>
    <t>Overige bedrijfsopbrengsten</t>
  </si>
  <si>
    <t>Aanrekening van werkingskosten aan derden</t>
  </si>
  <si>
    <t>732/9</t>
  </si>
  <si>
    <t>XVI.</t>
  </si>
  <si>
    <t>Overige bedrijfskosten</t>
  </si>
  <si>
    <t>640/8</t>
  </si>
  <si>
    <t>Aanrekening aan de verplichte verzekering</t>
  </si>
  <si>
    <t>Aanrekening door de verplichte verzekering</t>
  </si>
  <si>
    <t>FINANCIELE RESULTATEN</t>
  </si>
  <si>
    <t>XIX.</t>
  </si>
  <si>
    <t>Financiële opbrengsten</t>
  </si>
  <si>
    <t>Financiële kosten</t>
  </si>
  <si>
    <t>XXI.</t>
  </si>
  <si>
    <t>Uitzonderlijke opbrengsten</t>
  </si>
  <si>
    <t>B.Overige uitzonderlijke opbrengsten</t>
  </si>
  <si>
    <t>760/4, 769</t>
  </si>
  <si>
    <t>XXII.</t>
  </si>
  <si>
    <t>Uitzonderlijke kosten</t>
  </si>
  <si>
    <t>Uitzonderlijke resultaten (XXI tot XXII)</t>
  </si>
  <si>
    <t>70/66</t>
  </si>
  <si>
    <t>XXIII. RESULTAAT VAN HET BOEKJAAR</t>
  </si>
  <si>
    <t>Boni (+), Mali (-) van het boekjaar</t>
  </si>
  <si>
    <t>XXIV. EVOLUTIE VAN HET WERKKAPITAAL OF HET GECUMULEERD TEKORT</t>
  </si>
  <si>
    <t>A. Werkkapitaal (+) of gecumuleerd tekort (-) bij het</t>
  </si>
  <si>
    <t xml:space="preserve">      begin van het boekjaar</t>
  </si>
  <si>
    <t>B. Boni (+), Mali (-) van het boekjaar</t>
  </si>
  <si>
    <t>C. Overdracht van werkkapitaal van of naar de diensten</t>
  </si>
  <si>
    <t>699/799</t>
  </si>
  <si>
    <t>E. Werkkapitaal (+) of gecumuleerd tekort (-)  bij</t>
  </si>
  <si>
    <t xml:space="preserve">     het einde van het boekjaar</t>
  </si>
  <si>
    <t>70/69</t>
  </si>
  <si>
    <t>Aanvullende verzekering</t>
  </si>
  <si>
    <t>A.Overdracht om niet van vermogen door derden</t>
  </si>
  <si>
    <t xml:space="preserve">        verplichte ziekte- en invaliditeitsverzekering</t>
  </si>
  <si>
    <t xml:space="preserve">D.2. Tenlastename van het mali van de administratiekosten inzake de </t>
  </si>
  <si>
    <t>2017</t>
  </si>
  <si>
    <t>2018</t>
  </si>
  <si>
    <t xml:space="preserve">XVII. </t>
  </si>
  <si>
    <t>C.</t>
  </si>
  <si>
    <t>D.</t>
  </si>
  <si>
    <t>E.</t>
  </si>
  <si>
    <t>F.</t>
  </si>
  <si>
    <t>G.</t>
  </si>
  <si>
    <t>Terugneming van waardeverminderingen op financiële vaste activa</t>
  </si>
  <si>
    <t>Meerwaarden op de realisatie van materiële vaste activa</t>
  </si>
  <si>
    <t>Tenlasteneming van het verlies door derden</t>
  </si>
  <si>
    <t>Overdracht om niet van vermogen door derden</t>
  </si>
  <si>
    <t>Overige niet-recurrente bedrijfsopbrengsten</t>
  </si>
  <si>
    <t xml:space="preserve">XVIII. </t>
  </si>
  <si>
    <t>Waardeverminderingen op financiële vaste activa (toevoeging)</t>
  </si>
  <si>
    <t>Voorzieningen voor uitzonderlijke risico’s en kosten (toevoeging)</t>
  </si>
  <si>
    <t>Minderwaarden op de realisatie van materiële vaste activa</t>
  </si>
  <si>
    <t>Overige niet-recurrente bedrijfskosten</t>
  </si>
  <si>
    <t xml:space="preserve">Uitzonderlijke afschrijvingen en waardeverminderingen op </t>
  </si>
  <si>
    <t xml:space="preserve">oprichtingskosten en op immateriële en materiële vaste activa </t>
  </si>
  <si>
    <t xml:space="preserve">XXIII. </t>
  </si>
  <si>
    <t>XXIV.</t>
  </si>
  <si>
    <t>XXV.</t>
  </si>
  <si>
    <t>A. Diensten en administratief centrum (vanaf 2018)</t>
  </si>
  <si>
    <t>B. Aanvullend bijzonder reservefonds (vanaf 2018)</t>
  </si>
  <si>
    <t>Reserves voorhuwelijkssparen (vanaf 2018)</t>
  </si>
  <si>
    <t>A. van de diensten (tot 2017)</t>
  </si>
  <si>
    <t>B. van het administratief centrum  (tot 2017)</t>
  </si>
  <si>
    <t>Gecumuleerd tekort  (tot 2017)</t>
  </si>
  <si>
    <t>A. van de diensten  (tot 2017)</t>
  </si>
  <si>
    <t>B. van het administratief centrum (tot 2017)</t>
  </si>
  <si>
    <t>UITZONDERLIJKE RESULTATEN (TOT 2017)</t>
  </si>
  <si>
    <t>Niet-recurrente bedrijfsopbrengsten (vanaf 2018)</t>
  </si>
  <si>
    <t>Niet-recurrente bedrijfskosten (vanaf 2018)</t>
  </si>
  <si>
    <t>Niet-recurrente financiële opbrengsten (vanaf 2018)</t>
  </si>
  <si>
    <t>Niet-recurrente financiële kosten (vanaf 2018)</t>
  </si>
  <si>
    <t>21/29</t>
  </si>
  <si>
    <t>Uitzonderlijke resultaten (XXI tot XXII) (tot 2017)</t>
  </si>
  <si>
    <t>Werkingsresultaten (VIII tot XIX)</t>
  </si>
  <si>
    <t>Gemeenschappelijke werkingskosten met de verplichte verzekering:</t>
  </si>
  <si>
    <t>Financiële resultaten (XXI tot XXIV)</t>
  </si>
  <si>
    <t>2019</t>
  </si>
  <si>
    <t>1313/982, 1413/982</t>
  </si>
  <si>
    <t>1356/1456</t>
  </si>
  <si>
    <t>1390/1490</t>
  </si>
  <si>
    <t>2020</t>
  </si>
  <si>
    <t>immateriële en materiële vaste activa</t>
  </si>
  <si>
    <t>Terugneming van afschrijvingen en waardeverminderingen op</t>
  </si>
  <si>
    <t>risico's en kosten</t>
  </si>
  <si>
    <t>Besteding en terugneming van voorzieningen voor uitzonderlijke</t>
  </si>
  <si>
    <t>2021</t>
  </si>
  <si>
    <t>75/66</t>
  </si>
  <si>
    <t xml:space="preserve">D.1. Overdracht van het boni van de administratiekosten inzake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</si>
</sst>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##0.00;###0.00"/>
  </numFmts>
  <fonts count="22" x14ac:knownFonts="1">
    <font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4"/>
      <name val="Times New Roman"/>
      <family val="1"/>
    </font>
    <font>
      <sz val="10"/>
      <color rgb="FF808080"/>
      <name val="Times New Roman"/>
      <family val="1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3" fillId="0" borderId="2" xfId="0" applyFont="1" applyBorder="1" applyAlignment="1">
      <alignment horizontal="centerContinuous"/>
    </xf>
    <xf numFmtId="4" fontId="1" fillId="0" borderId="9" xfId="0" applyNumberFormat="1" applyFont="1" applyBorder="1"/>
    <xf numFmtId="0" fontId="1" fillId="0" borderId="10" xfId="0" quotePrefix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0" xfId="0" applyFont="1" applyBorder="1"/>
    <xf numFmtId="0" fontId="5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11" xfId="0" applyFont="1" applyBorder="1"/>
    <xf numFmtId="4" fontId="5" fillId="0" borderId="9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6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quotePrefix="1" applyFont="1"/>
    <xf numFmtId="0" fontId="1" fillId="0" borderId="6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4" fontId="4" fillId="0" borderId="5" xfId="0" applyNumberFormat="1" applyFont="1" applyBorder="1"/>
    <xf numFmtId="4" fontId="4" fillId="0" borderId="9" xfId="0" applyNumberFormat="1" applyFont="1" applyBorder="1"/>
    <xf numFmtId="0" fontId="7" fillId="0" borderId="10" xfId="0" applyFont="1" applyBorder="1"/>
    <xf numFmtId="0" fontId="7" fillId="0" borderId="0" xfId="0" quotePrefix="1" applyFont="1" applyAlignment="1">
      <alignment horizontal="left"/>
    </xf>
    <xf numFmtId="0" fontId="7" fillId="0" borderId="11" xfId="0" applyFont="1" applyBorder="1"/>
    <xf numFmtId="0" fontId="7" fillId="0" borderId="10" xfId="0" applyFont="1" applyBorder="1" applyAlignment="1">
      <alignment horizontal="center"/>
    </xf>
    <xf numFmtId="4" fontId="7" fillId="0" borderId="9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top"/>
    </xf>
    <xf numFmtId="2" fontId="7" fillId="0" borderId="9" xfId="0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12" xfId="0" applyFont="1" applyBorder="1"/>
    <xf numFmtId="0" fontId="13" fillId="0" borderId="13" xfId="0" quotePrefix="1" applyFont="1" applyBorder="1" applyAlignment="1">
      <alignment horizontal="left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"/>
    </xf>
    <xf numFmtId="0" fontId="11" fillId="0" borderId="15" xfId="0" applyFont="1" applyBorder="1"/>
    <xf numFmtId="0" fontId="15" fillId="0" borderId="0" xfId="0" applyFont="1"/>
    <xf numFmtId="4" fontId="0" fillId="0" borderId="9" xfId="0" applyNumberFormat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1" fillId="0" borderId="8" xfId="0" applyNumberFormat="1" applyFont="1" applyBorder="1"/>
    <xf numFmtId="0" fontId="0" fillId="0" borderId="9" xfId="0" applyBorder="1"/>
    <xf numFmtId="0" fontId="0" fillId="0" borderId="8" xfId="0" applyBorder="1"/>
    <xf numFmtId="0" fontId="0" fillId="0" borderId="14" xfId="0" applyBorder="1"/>
    <xf numFmtId="4" fontId="0" fillId="0" borderId="9" xfId="0" applyNumberFormat="1" applyBorder="1" applyAlignment="1">
      <alignment horizontal="right" wrapText="1"/>
    </xf>
    <xf numFmtId="4" fontId="7" fillId="0" borderId="9" xfId="0" applyNumberFormat="1" applyFont="1" applyBorder="1" applyAlignment="1">
      <alignment horizontal="right" wrapText="1"/>
    </xf>
    <xf numFmtId="4" fontId="7" fillId="0" borderId="9" xfId="0" applyNumberFormat="1" applyFont="1" applyBorder="1" applyAlignment="1">
      <alignment horizontal="right"/>
    </xf>
    <xf numFmtId="0" fontId="7" fillId="0" borderId="9" xfId="0" applyFont="1" applyBorder="1"/>
    <xf numFmtId="4" fontId="0" fillId="2" borderId="9" xfId="0" applyNumberFormat="1" applyFill="1" applyBorder="1"/>
    <xf numFmtId="0" fontId="0" fillId="0" borderId="0" xfId="0" quotePrefix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4" fillId="0" borderId="0" xfId="0" applyFont="1"/>
    <xf numFmtId="0" fontId="4" fillId="0" borderId="11" xfId="0" applyFont="1" applyBorder="1"/>
    <xf numFmtId="4" fontId="4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1" fillId="0" borderId="12" xfId="0" applyFont="1" applyBorder="1" applyAlignment="1">
      <alignment horizontal="center"/>
    </xf>
    <xf numFmtId="4" fontId="0" fillId="0" borderId="14" xfId="0" applyNumberFormat="1" applyBorder="1"/>
    <xf numFmtId="164" fontId="18" fillId="0" borderId="20" xfId="0" applyNumberFormat="1" applyFont="1" applyBorder="1" applyAlignment="1">
      <alignment horizontal="right" vertical="top" wrapText="1"/>
    </xf>
    <xf numFmtId="4" fontId="4" fillId="0" borderId="19" xfId="0" applyNumberFormat="1" applyFont="1" applyBorder="1"/>
    <xf numFmtId="4" fontId="0" fillId="0" borderId="19" xfId="0" applyNumberFormat="1" applyBorder="1"/>
    <xf numFmtId="4" fontId="16" fillId="0" borderId="19" xfId="0" applyNumberFormat="1" applyFont="1" applyBorder="1" applyAlignment="1">
      <alignment horizontal="left" wrapText="1"/>
    </xf>
    <xf numFmtId="4" fontId="0" fillId="0" borderId="19" xfId="0" applyNumberFormat="1" applyBorder="1" applyAlignment="1">
      <alignment horizontal="right"/>
    </xf>
    <xf numFmtId="4" fontId="0" fillId="0" borderId="19" xfId="0" applyNumberFormat="1" applyBorder="1" applyAlignment="1">
      <alignment horizontal="left" wrapText="1"/>
    </xf>
    <xf numFmtId="164" fontId="19" fillId="0" borderId="19" xfId="0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horizontal="center"/>
    </xf>
    <xf numFmtId="0" fontId="1" fillId="0" borderId="22" xfId="0" applyFont="1" applyBorder="1"/>
    <xf numFmtId="164" fontId="19" fillId="0" borderId="9" xfId="0" applyNumberFormat="1" applyFont="1" applyBorder="1" applyAlignment="1">
      <alignment horizontal="right" vertical="top" wrapText="1"/>
    </xf>
    <xf numFmtId="165" fontId="19" fillId="0" borderId="9" xfId="0" applyNumberFormat="1" applyFont="1" applyBorder="1" applyAlignment="1">
      <alignment horizontal="right" vertical="top" wrapText="1"/>
    </xf>
    <xf numFmtId="49" fontId="20" fillId="0" borderId="4" xfId="0" applyNumberFormat="1" applyFont="1" applyBorder="1" applyAlignment="1">
      <alignment horizontal="center" wrapText="1"/>
    </xf>
    <xf numFmtId="0" fontId="5" fillId="0" borderId="7" xfId="0" quotePrefix="1" applyFont="1" applyBorder="1" applyAlignment="1">
      <alignment horizontal="center"/>
    </xf>
    <xf numFmtId="4" fontId="5" fillId="0" borderId="5" xfId="0" applyNumberFormat="1" applyFont="1" applyBorder="1"/>
    <xf numFmtId="4" fontId="20" fillId="0" borderId="9" xfId="0" applyNumberFormat="1" applyFont="1" applyBorder="1"/>
    <xf numFmtId="0" fontId="5" fillId="0" borderId="0" xfId="0" applyFont="1" applyAlignment="1">
      <alignment horizontal="centerContinuous"/>
    </xf>
    <xf numFmtId="0" fontId="5" fillId="0" borderId="0" xfId="0" quotePrefix="1" applyFont="1" applyAlignment="1">
      <alignment horizontal="center"/>
    </xf>
    <xf numFmtId="4" fontId="20" fillId="0" borderId="5" xfId="0" applyNumberFormat="1" applyFont="1" applyBorder="1"/>
    <xf numFmtId="4" fontId="19" fillId="0" borderId="19" xfId="0" applyNumberFormat="1" applyFont="1" applyBorder="1" applyAlignment="1">
      <alignment horizontal="right" vertical="top" wrapText="1"/>
    </xf>
    <xf numFmtId="0" fontId="5" fillId="0" borderId="1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9" xfId="0" applyFont="1" applyBorder="1"/>
    <xf numFmtId="4" fontId="19" fillId="0" borderId="9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Continuous" vertical="center"/>
    </xf>
    <xf numFmtId="4" fontId="5" fillId="2" borderId="9" xfId="0" applyNumberFormat="1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0" borderId="23" xfId="0" applyFont="1" applyBorder="1" applyAlignment="1">
      <alignment horizontal="centerContinuous"/>
    </xf>
    <xf numFmtId="0" fontId="5" fillId="0" borderId="24" xfId="0" applyFont="1" applyBorder="1"/>
    <xf numFmtId="164" fontId="19" fillId="0" borderId="25" xfId="0" applyNumberFormat="1" applyFont="1" applyBorder="1" applyAlignment="1">
      <alignment horizontal="right" vertical="top" wrapText="1"/>
    </xf>
    <xf numFmtId="0" fontId="20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0" xfId="0" quotePrefix="1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3" xfId="0" applyFont="1" applyBorder="1" applyAlignment="1">
      <alignment horizontal="left"/>
    </xf>
    <xf numFmtId="0" fontId="20" fillId="0" borderId="3" xfId="0" applyFont="1" applyBorder="1" applyAlignment="1">
      <alignment horizontal="centerContinuous"/>
    </xf>
    <xf numFmtId="0" fontId="20" fillId="0" borderId="3" xfId="0" quotePrefix="1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12" xfId="0" applyFont="1" applyBorder="1"/>
    <xf numFmtId="0" fontId="20" fillId="0" borderId="13" xfId="0" applyFont="1" applyBorder="1"/>
    <xf numFmtId="0" fontId="20" fillId="0" borderId="12" xfId="0" applyFont="1" applyBorder="1" applyAlignment="1">
      <alignment horizontal="center"/>
    </xf>
    <xf numFmtId="0" fontId="20" fillId="0" borderId="14" xfId="0" applyFont="1" applyBorder="1"/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Alignment="1">
      <alignment horizontal="center"/>
    </xf>
    <xf numFmtId="0" fontId="20" fillId="0" borderId="2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20" fillId="0" borderId="13" xfId="0" applyFont="1" applyBorder="1" applyAlignment="1">
      <alignment horizontal="centerContinuous"/>
    </xf>
    <xf numFmtId="0" fontId="5" fillId="0" borderId="14" xfId="0" applyFont="1" applyBorder="1"/>
    <xf numFmtId="0" fontId="5" fillId="0" borderId="16" xfId="0" applyFont="1" applyBorder="1" applyAlignment="1">
      <alignment horizontal="centerContinuous"/>
    </xf>
    <xf numFmtId="0" fontId="20" fillId="0" borderId="16" xfId="0" applyFont="1" applyBorder="1" applyAlignment="1">
      <alignment horizontal="centerContinuous"/>
    </xf>
    <xf numFmtId="0" fontId="20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/>
    </xf>
    <xf numFmtId="0" fontId="5" fillId="0" borderId="10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center"/>
    </xf>
    <xf numFmtId="4" fontId="20" fillId="2" borderId="9" xfId="0" applyNumberFormat="1" applyFont="1" applyFill="1" applyBorder="1"/>
    <xf numFmtId="0" fontId="5" fillId="0" borderId="12" xfId="0" applyFont="1" applyBorder="1"/>
    <xf numFmtId="0" fontId="5" fillId="2" borderId="14" xfId="0" applyFont="1" applyFill="1" applyBorder="1"/>
    <xf numFmtId="0" fontId="5" fillId="0" borderId="17" xfId="0" applyFont="1" applyBorder="1" applyAlignment="1">
      <alignment horizontal="center"/>
    </xf>
    <xf numFmtId="0" fontId="20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20" fillId="0" borderId="10" xfId="0" applyFont="1" applyBorder="1"/>
    <xf numFmtId="0" fontId="20" fillId="0" borderId="3" xfId="0" applyFont="1" applyBorder="1"/>
    <xf numFmtId="0" fontId="20" fillId="0" borderId="3" xfId="0" applyFont="1" applyBorder="1" applyAlignment="1">
      <alignment horizontal="right"/>
    </xf>
    <xf numFmtId="0" fontId="20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20" fillId="0" borderId="2" xfId="0" quotePrefix="1" applyFont="1" applyBorder="1" applyAlignment="1">
      <alignment horizontal="left"/>
    </xf>
    <xf numFmtId="0" fontId="21" fillId="0" borderId="3" xfId="0" applyFont="1" applyBorder="1" applyAlignment="1">
      <alignment horizontal="centerContinuous"/>
    </xf>
    <xf numFmtId="0" fontId="21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0" xfId="0" applyFont="1" applyAlignment="1">
      <alignment horizontal="centerContinuous"/>
    </xf>
    <xf numFmtId="0" fontId="20" fillId="0" borderId="0" xfId="0" quotePrefix="1" applyFont="1" applyAlignment="1">
      <alignment horizontal="right"/>
    </xf>
    <xf numFmtId="0" fontId="20" fillId="0" borderId="9" xfId="0" applyFont="1" applyBorder="1" applyAlignment="1">
      <alignment horizontal="center"/>
    </xf>
    <xf numFmtId="0" fontId="0" fillId="2" borderId="9" xfId="0" applyFill="1" applyBorder="1"/>
    <xf numFmtId="0" fontId="1" fillId="0" borderId="10" xfId="0" quotePrefix="1" applyFont="1" applyBorder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0" fillId="0" borderId="0" xfId="0" applyAlignment="1">
      <alignment vertical="top"/>
    </xf>
    <xf numFmtId="0" fontId="17" fillId="0" borderId="10" xfId="0" applyFont="1" applyBorder="1" applyAlignment="1">
      <alignment horizontal="center" vertical="top" wrapText="1"/>
    </xf>
    <xf numFmtId="4" fontId="0" fillId="2" borderId="9" xfId="0" applyNumberFormat="1" applyFill="1" applyBorder="1" applyAlignment="1">
      <alignment vertical="top"/>
    </xf>
    <xf numFmtId="4" fontId="0" fillId="0" borderId="9" xfId="0" applyNumberFormat="1" applyBorder="1" applyAlignment="1">
      <alignment vertical="top"/>
    </xf>
    <xf numFmtId="164" fontId="19" fillId="0" borderId="19" xfId="0" applyNumberFormat="1" applyFont="1" applyBorder="1" applyAlignment="1">
      <alignment horizontal="right" wrapText="1"/>
    </xf>
    <xf numFmtId="4" fontId="0" fillId="0" borderId="8" xfId="0" applyNumberFormat="1" applyBorder="1"/>
    <xf numFmtId="4" fontId="19" fillId="0" borderId="9" xfId="0" applyNumberFormat="1" applyFont="1" applyBorder="1" applyAlignment="1">
      <alignment horizontal="right" wrapText="1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centerContinuous"/>
    </xf>
    <xf numFmtId="0" fontId="5" fillId="0" borderId="5" xfId="0" applyFont="1" applyBorder="1" applyAlignment="1">
      <alignment horizontal="center" wrapText="1"/>
    </xf>
    <xf numFmtId="0" fontId="1" fillId="0" borderId="29" xfId="0" applyFont="1" applyBorder="1"/>
    <xf numFmtId="0" fontId="1" fillId="0" borderId="29" xfId="0" quotePrefix="1" applyFont="1" applyBorder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Procent 2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zoomScaleNormal="100" zoomScaleSheetLayoutView="210" workbookViewId="0">
      <selection activeCell="O49" sqref="O49"/>
    </sheetView>
  </sheetViews>
  <sheetFormatPr defaultColWidth="12" defaultRowHeight="12.75" x14ac:dyDescent="0.2"/>
  <cols>
    <col min="1" max="1" width="4.5" style="2" customWidth="1"/>
    <col min="2" max="2" width="1" style="2" customWidth="1"/>
    <col min="3" max="3" width="5.5" style="2" customWidth="1"/>
    <col min="4" max="4" width="6.83203125" style="2" customWidth="1"/>
    <col min="5" max="6" width="12" style="2" customWidth="1"/>
    <col min="7" max="7" width="10" style="2" customWidth="1"/>
    <col min="8" max="8" width="8.33203125" style="2" customWidth="1"/>
    <col min="9" max="9" width="3" style="2" customWidth="1"/>
    <col min="10" max="10" width="10.83203125" style="37" customWidth="1"/>
    <col min="11" max="15" width="18.83203125" style="2" customWidth="1"/>
    <col min="16" max="16384" width="12" style="2"/>
  </cols>
  <sheetData>
    <row r="1" spans="1:15" ht="18.75" x14ac:dyDescent="0.3">
      <c r="A1" s="71" t="s">
        <v>196</v>
      </c>
    </row>
    <row r="3" spans="1:15" s="1" customFormat="1" ht="16.5" customHeight="1" x14ac:dyDescent="0.2">
      <c r="A3" s="210" t="s">
        <v>0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5" ht="15" customHeight="1" x14ac:dyDescent="0.2">
      <c r="J4" s="2"/>
    </row>
    <row r="5" spans="1:15" x14ac:dyDescent="0.2">
      <c r="A5" s="3" t="s">
        <v>1</v>
      </c>
      <c r="B5" s="4"/>
      <c r="C5" s="5"/>
      <c r="D5" s="5"/>
      <c r="E5" s="5"/>
      <c r="F5" s="5"/>
      <c r="G5" s="5"/>
      <c r="H5" s="5"/>
      <c r="I5" s="6"/>
      <c r="J5" s="7" t="s">
        <v>2</v>
      </c>
      <c r="K5" s="7">
        <v>2017</v>
      </c>
      <c r="L5" s="7">
        <v>2018</v>
      </c>
      <c r="M5" s="7">
        <v>2019</v>
      </c>
      <c r="N5" s="102">
        <v>2020</v>
      </c>
      <c r="O5" s="102">
        <v>2021</v>
      </c>
    </row>
    <row r="6" spans="1:15" ht="15.6" customHeight="1" x14ac:dyDescent="0.2">
      <c r="A6" s="8"/>
      <c r="B6" s="9"/>
      <c r="C6" s="9"/>
      <c r="D6" s="9"/>
      <c r="E6" s="9"/>
      <c r="F6" s="9"/>
      <c r="G6" s="9"/>
      <c r="H6" s="9"/>
      <c r="I6" s="10"/>
      <c r="J6" s="11"/>
      <c r="K6" s="33"/>
      <c r="L6" s="33"/>
      <c r="M6" s="33"/>
      <c r="N6" s="103"/>
      <c r="O6" s="103"/>
    </row>
    <row r="7" spans="1:15" s="86" customFormat="1" ht="17.100000000000001" customHeight="1" x14ac:dyDescent="0.2">
      <c r="A7" s="85" t="s">
        <v>4</v>
      </c>
      <c r="B7" s="89" t="s">
        <v>5</v>
      </c>
      <c r="C7" s="90"/>
      <c r="I7" s="87"/>
      <c r="J7" s="26">
        <v>20</v>
      </c>
      <c r="K7" s="88">
        <v>26839806.09</v>
      </c>
      <c r="L7" s="88">
        <v>18025598.050000001</v>
      </c>
      <c r="M7" s="88">
        <v>17722423.899999999</v>
      </c>
      <c r="N7" s="95">
        <v>20170417.27</v>
      </c>
      <c r="O7" s="95">
        <v>29211154.02</v>
      </c>
    </row>
    <row r="8" spans="1:15" s="86" customFormat="1" ht="17.100000000000001" customHeight="1" x14ac:dyDescent="0.2">
      <c r="A8" s="85"/>
      <c r="B8" s="89" t="s">
        <v>3</v>
      </c>
      <c r="C8" s="90"/>
      <c r="I8" s="87"/>
      <c r="J8" s="26" t="s">
        <v>236</v>
      </c>
      <c r="K8" s="50">
        <f t="shared" ref="K8:N8" si="0">+K9+K10+K17+K24</f>
        <v>251298056.43000001</v>
      </c>
      <c r="L8" s="50">
        <f t="shared" si="0"/>
        <v>262803842.93000001</v>
      </c>
      <c r="M8" s="50">
        <f t="shared" si="0"/>
        <v>237543734.32999998</v>
      </c>
      <c r="N8" s="96">
        <f t="shared" si="0"/>
        <v>233520187.62</v>
      </c>
      <c r="O8" s="96">
        <f t="shared" ref="O8" si="1">+O9+O10+O17+O24</f>
        <v>241496245.21999997</v>
      </c>
    </row>
    <row r="9" spans="1:15" ht="17.100000000000001" customHeight="1" x14ac:dyDescent="0.2">
      <c r="A9" s="15" t="s">
        <v>6</v>
      </c>
      <c r="B9" s="19" t="s">
        <v>7</v>
      </c>
      <c r="I9" s="17"/>
      <c r="J9" s="18">
        <v>21</v>
      </c>
      <c r="K9" s="79">
        <v>10531077.140000001</v>
      </c>
      <c r="L9" s="79">
        <v>9787345.4100000001</v>
      </c>
      <c r="M9" s="79">
        <v>9304700.5500000007</v>
      </c>
      <c r="N9" s="101">
        <v>13880394.630000001</v>
      </c>
      <c r="O9" s="101">
        <v>17236030.34</v>
      </c>
    </row>
    <row r="10" spans="1:15" ht="17.100000000000001" customHeight="1" x14ac:dyDescent="0.2">
      <c r="A10" s="15" t="s">
        <v>8</v>
      </c>
      <c r="B10" s="16" t="s">
        <v>9</v>
      </c>
      <c r="I10" s="17"/>
      <c r="J10" s="18" t="s">
        <v>10</v>
      </c>
      <c r="K10" s="14">
        <f t="shared" ref="K10:L10" si="2">SUM(K11:K16)</f>
        <v>92631724.180000007</v>
      </c>
      <c r="L10" s="14">
        <f t="shared" si="2"/>
        <v>96317617.310000002</v>
      </c>
      <c r="M10" s="14">
        <f>SUM(M11:M16)</f>
        <v>96139492.010000005</v>
      </c>
      <c r="N10" s="97">
        <f>SUM(N11:N16)</f>
        <v>97523173.449999988</v>
      </c>
      <c r="O10" s="97">
        <f>SUM(O11:O16)</f>
        <v>120386601.73999999</v>
      </c>
    </row>
    <row r="11" spans="1:15" ht="15.6" customHeight="1" x14ac:dyDescent="0.2">
      <c r="A11" s="15"/>
      <c r="B11" s="19"/>
      <c r="C11" s="19" t="s">
        <v>11</v>
      </c>
      <c r="I11" s="17"/>
      <c r="J11" s="18">
        <v>22</v>
      </c>
      <c r="K11" s="79">
        <v>32917191.43</v>
      </c>
      <c r="L11" s="79">
        <v>35962809.090000004</v>
      </c>
      <c r="M11" s="79">
        <v>35810036.039999999</v>
      </c>
      <c r="N11" s="101">
        <v>35490093.369999997</v>
      </c>
      <c r="O11" s="101">
        <v>35626045.75</v>
      </c>
    </row>
    <row r="12" spans="1:15" ht="15.6" customHeight="1" x14ac:dyDescent="0.2">
      <c r="A12" s="20"/>
      <c r="C12" s="19" t="s">
        <v>12</v>
      </c>
      <c r="I12" s="17"/>
      <c r="J12" s="18">
        <v>23</v>
      </c>
      <c r="K12" s="79">
        <v>7975778.3099999996</v>
      </c>
      <c r="L12" s="79">
        <v>11394201.039999999</v>
      </c>
      <c r="M12" s="79">
        <v>11169362.189999999</v>
      </c>
      <c r="N12" s="101">
        <v>13030386.57</v>
      </c>
      <c r="O12" s="101">
        <v>14501571.02</v>
      </c>
    </row>
    <row r="13" spans="1:15" ht="15.6" customHeight="1" x14ac:dyDescent="0.2">
      <c r="A13" s="20"/>
      <c r="C13" s="19" t="s">
        <v>13</v>
      </c>
      <c r="I13" s="17"/>
      <c r="J13" s="18">
        <v>24</v>
      </c>
      <c r="K13" s="79">
        <v>20762177.079999998</v>
      </c>
      <c r="L13" s="79">
        <v>21598584.100000001</v>
      </c>
      <c r="M13" s="79">
        <v>21504444.579999998</v>
      </c>
      <c r="N13" s="101">
        <v>19626255.440000001</v>
      </c>
      <c r="O13" s="101">
        <v>16772114.619999999</v>
      </c>
    </row>
    <row r="14" spans="1:15" ht="15.6" customHeight="1" x14ac:dyDescent="0.2">
      <c r="A14" s="20"/>
      <c r="C14" s="19" t="s">
        <v>14</v>
      </c>
      <c r="I14" s="17"/>
      <c r="J14" s="18">
        <v>25</v>
      </c>
      <c r="K14" s="79">
        <v>5139086.1399999997</v>
      </c>
      <c r="L14" s="79">
        <v>4034015.46</v>
      </c>
      <c r="M14" s="79">
        <v>2968739.81</v>
      </c>
      <c r="N14" s="101">
        <v>1937773.91</v>
      </c>
      <c r="O14" s="101">
        <v>1143651.79</v>
      </c>
    </row>
    <row r="15" spans="1:15" ht="15" customHeight="1" x14ac:dyDescent="0.2">
      <c r="A15" s="20"/>
      <c r="C15" s="19" t="s">
        <v>15</v>
      </c>
      <c r="I15" s="17"/>
      <c r="J15" s="18"/>
      <c r="K15" s="74"/>
      <c r="L15" s="79"/>
      <c r="M15" s="79"/>
      <c r="N15" s="97"/>
      <c r="O15" s="97"/>
    </row>
    <row r="16" spans="1:15" ht="15.6" customHeight="1" x14ac:dyDescent="0.2">
      <c r="A16" s="20"/>
      <c r="C16" s="2" t="s">
        <v>16</v>
      </c>
      <c r="I16" s="17"/>
      <c r="J16" s="18">
        <v>26</v>
      </c>
      <c r="K16" s="79">
        <v>25837491.219999999</v>
      </c>
      <c r="L16" s="74">
        <v>23328007.620000001</v>
      </c>
      <c r="M16" s="74">
        <v>24686909.390000001</v>
      </c>
      <c r="N16" s="101">
        <v>27438664.16</v>
      </c>
      <c r="O16" s="97">
        <v>52343218.560000002</v>
      </c>
    </row>
    <row r="17" spans="1:15" ht="17.100000000000001" customHeight="1" x14ac:dyDescent="0.2">
      <c r="A17" s="15" t="s">
        <v>17</v>
      </c>
      <c r="B17" s="19" t="s">
        <v>18</v>
      </c>
      <c r="I17" s="17"/>
      <c r="J17" s="18">
        <v>28</v>
      </c>
      <c r="K17" s="14">
        <f t="shared" ref="K17:N17" si="3">K19+K23</f>
        <v>14416422.199999999</v>
      </c>
      <c r="L17" s="14">
        <f t="shared" si="3"/>
        <v>5121583.67</v>
      </c>
      <c r="M17" s="14">
        <f t="shared" si="3"/>
        <v>5324993.8099999996</v>
      </c>
      <c r="N17" s="97">
        <f t="shared" si="3"/>
        <v>4343493.7799999993</v>
      </c>
      <c r="O17" s="97">
        <f t="shared" ref="O17" si="4">O19+O23</f>
        <v>3500463.6799999997</v>
      </c>
    </row>
    <row r="18" spans="1:15" ht="15.6" customHeight="1" x14ac:dyDescent="0.2">
      <c r="A18" s="20"/>
      <c r="C18" s="19" t="s">
        <v>19</v>
      </c>
      <c r="I18" s="17"/>
      <c r="J18" s="18"/>
      <c r="K18" s="74"/>
      <c r="L18" s="74"/>
      <c r="M18" s="74"/>
      <c r="N18" s="98"/>
      <c r="O18" s="98"/>
    </row>
    <row r="19" spans="1:15" ht="15.6" customHeight="1" x14ac:dyDescent="0.2">
      <c r="A19" s="20"/>
      <c r="C19" s="2" t="s">
        <v>20</v>
      </c>
      <c r="I19" s="17"/>
      <c r="J19" s="18" t="s">
        <v>21</v>
      </c>
      <c r="K19" s="74">
        <f t="shared" ref="K19:M19" si="5">SUM(K20:K21)</f>
        <v>11824751.91</v>
      </c>
      <c r="L19" s="74">
        <f t="shared" si="5"/>
        <v>2260589.94</v>
      </c>
      <c r="M19" s="74">
        <f t="shared" si="5"/>
        <v>2327789.7599999998</v>
      </c>
      <c r="N19" s="99">
        <f>SUM(N20:N21)</f>
        <v>1455180.88</v>
      </c>
      <c r="O19" s="99">
        <f>SUM(O20:O21)</f>
        <v>1374791.3599999999</v>
      </c>
    </row>
    <row r="20" spans="1:15" s="37" customFormat="1" ht="15.6" customHeight="1" x14ac:dyDescent="0.2">
      <c r="A20" s="51"/>
      <c r="C20" s="52"/>
      <c r="D20" s="37" t="s">
        <v>22</v>
      </c>
      <c r="I20" s="53"/>
      <c r="J20" s="54">
        <v>280</v>
      </c>
      <c r="K20" s="80">
        <v>5919879.1200000001</v>
      </c>
      <c r="L20" s="80">
        <v>451513.13</v>
      </c>
      <c r="M20" s="80">
        <v>476782.24</v>
      </c>
      <c r="N20" s="80">
        <v>481782.24</v>
      </c>
      <c r="O20" s="80">
        <v>406645.65</v>
      </c>
    </row>
    <row r="21" spans="1:15" s="37" customFormat="1" ht="15.6" customHeight="1" x14ac:dyDescent="0.2">
      <c r="A21" s="51"/>
      <c r="C21" s="52"/>
      <c r="D21" s="37" t="s">
        <v>23</v>
      </c>
      <c r="I21" s="53"/>
      <c r="J21" s="54">
        <v>281</v>
      </c>
      <c r="K21" s="80">
        <v>5904872.79</v>
      </c>
      <c r="L21" s="80">
        <v>1809076.81</v>
      </c>
      <c r="M21" s="80">
        <v>1851007.52</v>
      </c>
      <c r="N21" s="80">
        <v>973398.64</v>
      </c>
      <c r="O21" s="80">
        <v>968145.71</v>
      </c>
    </row>
    <row r="22" spans="1:15" ht="15.6" customHeight="1" x14ac:dyDescent="0.2">
      <c r="A22" s="20"/>
      <c r="C22" s="19" t="s">
        <v>24</v>
      </c>
      <c r="I22" s="17"/>
      <c r="J22" s="21"/>
      <c r="K22" s="74"/>
      <c r="L22" s="74"/>
      <c r="M22" s="74"/>
      <c r="N22" s="98"/>
      <c r="O22" s="98"/>
    </row>
    <row r="23" spans="1:15" ht="15.6" customHeight="1" x14ac:dyDescent="0.2">
      <c r="A23" s="20"/>
      <c r="C23" s="2" t="s">
        <v>25</v>
      </c>
      <c r="I23" s="17"/>
      <c r="J23" s="18" t="s">
        <v>26</v>
      </c>
      <c r="K23" s="79">
        <v>2591670.29</v>
      </c>
      <c r="L23" s="79">
        <v>2860993.73</v>
      </c>
      <c r="M23" s="79">
        <v>2997204.05</v>
      </c>
      <c r="N23" s="201">
        <v>2888312.9</v>
      </c>
      <c r="O23" s="201">
        <v>2125672.3199999998</v>
      </c>
    </row>
    <row r="24" spans="1:15" ht="15.6" customHeight="1" x14ac:dyDescent="0.2">
      <c r="A24" s="15" t="s">
        <v>27</v>
      </c>
      <c r="B24" s="19" t="s">
        <v>28</v>
      </c>
      <c r="I24" s="17"/>
      <c r="J24" s="18">
        <v>29</v>
      </c>
      <c r="K24" s="72">
        <f t="shared" ref="K24:M24" si="6">SUM(K25:K26)</f>
        <v>133718832.91</v>
      </c>
      <c r="L24" s="72">
        <f t="shared" si="6"/>
        <v>151577296.53999999</v>
      </c>
      <c r="M24" s="72">
        <f t="shared" si="6"/>
        <v>126774547.95999999</v>
      </c>
      <c r="N24" s="97">
        <f>SUM(N25:N26)</f>
        <v>117773125.76000001</v>
      </c>
      <c r="O24" s="97">
        <f>SUM(O25:O26)</f>
        <v>100373149.45999999</v>
      </c>
    </row>
    <row r="25" spans="1:15" ht="15.6" customHeight="1" x14ac:dyDescent="0.2">
      <c r="A25" s="20"/>
      <c r="C25" s="19" t="s">
        <v>29</v>
      </c>
      <c r="I25" s="17"/>
      <c r="J25" s="18" t="s">
        <v>30</v>
      </c>
      <c r="K25" s="74">
        <v>125172098.77</v>
      </c>
      <c r="L25" s="74">
        <v>143561461.22</v>
      </c>
      <c r="M25" s="74">
        <v>116638889.06999999</v>
      </c>
      <c r="N25" s="101">
        <v>107661436.36</v>
      </c>
      <c r="O25" s="101">
        <v>86017985.239999995</v>
      </c>
    </row>
    <row r="26" spans="1:15" ht="15.6" customHeight="1" x14ac:dyDescent="0.2">
      <c r="A26" s="20"/>
      <c r="C26" s="19" t="s">
        <v>31</v>
      </c>
      <c r="I26" s="17"/>
      <c r="J26" s="18" t="s">
        <v>32</v>
      </c>
      <c r="K26" s="79">
        <v>8546734.1400000006</v>
      </c>
      <c r="L26" s="79">
        <v>8015835.3200000003</v>
      </c>
      <c r="M26" s="79">
        <v>10135658.890000001</v>
      </c>
      <c r="N26" s="101">
        <v>10111689.4</v>
      </c>
      <c r="O26" s="101">
        <v>14355164.220000001</v>
      </c>
    </row>
    <row r="27" spans="1:15" ht="19.899999999999999" customHeight="1" x14ac:dyDescent="0.2">
      <c r="A27" s="22"/>
      <c r="B27" s="89" t="s">
        <v>33</v>
      </c>
      <c r="C27" s="24"/>
      <c r="D27" s="24"/>
      <c r="E27" s="24"/>
      <c r="F27" s="24"/>
      <c r="G27" s="24"/>
      <c r="H27" s="24"/>
      <c r="I27" s="25"/>
      <c r="J27" s="26" t="s">
        <v>34</v>
      </c>
      <c r="K27" s="50">
        <f t="shared" ref="K27:N27" si="7">K28+K29+K42+K46+K47</f>
        <v>2641316870.3199997</v>
      </c>
      <c r="L27" s="50">
        <f t="shared" si="7"/>
        <v>2594498379.1800003</v>
      </c>
      <c r="M27" s="50">
        <f t="shared" si="7"/>
        <v>3745834997.3100004</v>
      </c>
      <c r="N27" s="96">
        <f t="shared" si="7"/>
        <v>3172994621.8499999</v>
      </c>
      <c r="O27" s="96">
        <f t="shared" ref="O27" si="8">O28+O29+O42+O46+O47</f>
        <v>3002938629.2600002</v>
      </c>
    </row>
    <row r="28" spans="1:15" ht="18.75" customHeight="1" x14ac:dyDescent="0.2">
      <c r="A28" s="27" t="s">
        <v>35</v>
      </c>
      <c r="B28" s="28" t="s">
        <v>36</v>
      </c>
      <c r="C28" s="29"/>
      <c r="D28" s="29"/>
      <c r="E28" s="29"/>
      <c r="F28" s="29"/>
      <c r="G28" s="29"/>
      <c r="H28" s="29"/>
      <c r="I28" s="30"/>
      <c r="J28" s="21">
        <v>31</v>
      </c>
      <c r="K28" s="79">
        <v>691879.68</v>
      </c>
      <c r="L28" s="79">
        <v>589228.09</v>
      </c>
      <c r="M28" s="79">
        <v>697137.93</v>
      </c>
      <c r="N28" s="79">
        <v>708885.8</v>
      </c>
      <c r="O28" s="79">
        <v>678117.26</v>
      </c>
    </row>
    <row r="29" spans="1:15" ht="17.100000000000001" customHeight="1" x14ac:dyDescent="0.2">
      <c r="A29" s="27" t="s">
        <v>37</v>
      </c>
      <c r="B29" s="28" t="s">
        <v>38</v>
      </c>
      <c r="C29" s="29"/>
      <c r="D29" s="29"/>
      <c r="E29" s="29"/>
      <c r="F29" s="29"/>
      <c r="G29" s="29"/>
      <c r="H29" s="29"/>
      <c r="I29" s="30"/>
      <c r="J29" s="21" t="s">
        <v>39</v>
      </c>
      <c r="K29" s="72">
        <f t="shared" ref="K29:N29" si="9">K31+K38+K39+K40+K41</f>
        <v>441269887.8499999</v>
      </c>
      <c r="L29" s="72">
        <f t="shared" si="9"/>
        <v>426880669.44</v>
      </c>
      <c r="M29" s="72">
        <f t="shared" si="9"/>
        <v>1542477620.9100001</v>
      </c>
      <c r="N29" s="97">
        <f t="shared" si="9"/>
        <v>755532349.11000013</v>
      </c>
      <c r="O29" s="97">
        <f t="shared" ref="O29" si="10">O31+O38+O39+O40+O41</f>
        <v>643347779.75999999</v>
      </c>
    </row>
    <row r="30" spans="1:15" ht="15.6" customHeight="1" x14ac:dyDescent="0.2">
      <c r="A30" s="20"/>
      <c r="C30" s="28" t="s">
        <v>40</v>
      </c>
      <c r="D30" s="29"/>
      <c r="E30" s="29"/>
      <c r="F30" s="29"/>
      <c r="I30" s="17"/>
      <c r="J30" s="18"/>
      <c r="K30" s="74"/>
      <c r="L30" s="74"/>
      <c r="M30" s="74"/>
      <c r="N30" s="100"/>
      <c r="O30" s="100"/>
    </row>
    <row r="31" spans="1:15" ht="15.6" customHeight="1" x14ac:dyDescent="0.2">
      <c r="A31" s="20"/>
      <c r="C31" s="28" t="s">
        <v>41</v>
      </c>
      <c r="D31" s="28"/>
      <c r="E31" s="29"/>
      <c r="F31" s="29"/>
      <c r="I31" s="17"/>
      <c r="J31" s="18">
        <v>40</v>
      </c>
      <c r="K31" s="72">
        <f t="shared" ref="K31:N31" si="11">SUM(K32:K37)</f>
        <v>97353462.169999987</v>
      </c>
      <c r="L31" s="72">
        <f t="shared" si="11"/>
        <v>98408076.909999996</v>
      </c>
      <c r="M31" s="72">
        <f t="shared" si="11"/>
        <v>1050283169.25</v>
      </c>
      <c r="N31" s="97">
        <f t="shared" si="11"/>
        <v>247770272.74000001</v>
      </c>
      <c r="O31" s="97">
        <f t="shared" ref="O31" si="12">SUM(O32:O37)</f>
        <v>98552146.789999992</v>
      </c>
    </row>
    <row r="32" spans="1:15" s="37" customFormat="1" ht="15.6" customHeight="1" x14ac:dyDescent="0.2">
      <c r="A32" s="51"/>
      <c r="C32" s="57"/>
      <c r="D32" s="58" t="s">
        <v>42</v>
      </c>
      <c r="E32" s="57"/>
      <c r="F32" s="57"/>
      <c r="I32" s="53"/>
      <c r="J32" s="54" t="s">
        <v>43</v>
      </c>
      <c r="K32" s="81">
        <v>1061716.75</v>
      </c>
      <c r="L32" s="81">
        <v>2085457.83</v>
      </c>
      <c r="M32" s="81">
        <v>837494636.49000001</v>
      </c>
      <c r="N32" s="81">
        <v>49697525.890000001</v>
      </c>
      <c r="O32" s="81">
        <v>1400016.77</v>
      </c>
    </row>
    <row r="33" spans="1:15" s="37" customFormat="1" ht="15.6" customHeight="1" x14ac:dyDescent="0.2">
      <c r="A33" s="51"/>
      <c r="C33" s="57"/>
      <c r="D33" s="58" t="s">
        <v>44</v>
      </c>
      <c r="E33" s="57"/>
      <c r="F33" s="57"/>
      <c r="I33" s="53"/>
      <c r="J33" s="54">
        <v>404</v>
      </c>
      <c r="K33" s="80">
        <v>11737004.779999999</v>
      </c>
      <c r="L33" s="80">
        <v>8588795.6099999994</v>
      </c>
      <c r="M33" s="80">
        <v>11558198.18</v>
      </c>
      <c r="N33" s="80">
        <v>10960792.59</v>
      </c>
      <c r="O33" s="80">
        <v>9018173.3900000006</v>
      </c>
    </row>
    <row r="34" spans="1:15" s="37" customFormat="1" ht="15.6" customHeight="1" x14ac:dyDescent="0.2">
      <c r="A34" s="51"/>
      <c r="C34" s="57"/>
      <c r="D34" s="58" t="s">
        <v>45</v>
      </c>
      <c r="E34" s="57"/>
      <c r="F34" s="57"/>
      <c r="I34" s="53"/>
      <c r="J34" s="54">
        <v>405</v>
      </c>
      <c r="K34" s="80">
        <v>81078947.019999996</v>
      </c>
      <c r="L34" s="80">
        <v>85338191.989999995</v>
      </c>
      <c r="M34" s="80">
        <v>71023210.269999996</v>
      </c>
      <c r="N34" s="80">
        <v>101601841.88</v>
      </c>
      <c r="O34" s="80">
        <v>85513205.239999995</v>
      </c>
    </row>
    <row r="35" spans="1:15" s="37" customFormat="1" ht="15.6" customHeight="1" x14ac:dyDescent="0.2">
      <c r="A35" s="51"/>
      <c r="C35" s="57"/>
      <c r="D35" s="58" t="s">
        <v>46</v>
      </c>
      <c r="E35" s="57"/>
      <c r="F35" s="57"/>
      <c r="I35" s="53"/>
      <c r="J35" s="54">
        <v>406</v>
      </c>
      <c r="K35" s="80">
        <v>2672586.6</v>
      </c>
      <c r="L35" s="80">
        <v>1300560.94</v>
      </c>
      <c r="M35" s="80">
        <v>2203018.25</v>
      </c>
      <c r="N35" s="80">
        <v>594920.56000000006</v>
      </c>
      <c r="O35" s="80">
        <v>951900.97</v>
      </c>
    </row>
    <row r="36" spans="1:15" s="37" customFormat="1" ht="15.6" customHeight="1" x14ac:dyDescent="0.2">
      <c r="A36" s="51"/>
      <c r="C36" s="57"/>
      <c r="D36" s="58" t="s">
        <v>47</v>
      </c>
      <c r="E36" s="57"/>
      <c r="F36" s="57"/>
      <c r="I36" s="53"/>
      <c r="J36" s="54">
        <v>407</v>
      </c>
      <c r="K36" s="80">
        <v>803207.02</v>
      </c>
      <c r="L36" s="80">
        <v>1094391.79</v>
      </c>
      <c r="M36" s="80">
        <v>128004106.06</v>
      </c>
      <c r="N36" s="80">
        <v>84913899.829999998</v>
      </c>
      <c r="O36" s="80">
        <v>1668850.42</v>
      </c>
    </row>
    <row r="37" spans="1:15" s="37" customFormat="1" ht="15.6" customHeight="1" x14ac:dyDescent="0.2">
      <c r="A37" s="51"/>
      <c r="C37" s="57"/>
      <c r="D37" s="58" t="s">
        <v>48</v>
      </c>
      <c r="E37" s="57"/>
      <c r="F37" s="57"/>
      <c r="I37" s="53"/>
      <c r="J37" s="54">
        <v>408</v>
      </c>
      <c r="K37" s="81">
        <v>0</v>
      </c>
      <c r="L37" s="81">
        <v>678.75</v>
      </c>
      <c r="M37" s="81">
        <v>0</v>
      </c>
      <c r="N37" s="81">
        <v>1291.99</v>
      </c>
      <c r="O37" s="81">
        <v>0</v>
      </c>
    </row>
    <row r="38" spans="1:15" ht="15.6" customHeight="1" x14ac:dyDescent="0.2">
      <c r="A38" s="20"/>
      <c r="C38" s="19" t="s">
        <v>49</v>
      </c>
      <c r="I38" s="17"/>
      <c r="J38" s="18">
        <v>470</v>
      </c>
      <c r="K38" s="79">
        <v>19924466.109999999</v>
      </c>
      <c r="L38" s="79">
        <v>20058887.859999999</v>
      </c>
      <c r="M38" s="79">
        <v>22956254.379999999</v>
      </c>
      <c r="N38" s="101">
        <v>25021607.609999999</v>
      </c>
      <c r="O38" s="101">
        <v>35530113.75</v>
      </c>
    </row>
    <row r="39" spans="1:15" ht="15.6" customHeight="1" x14ac:dyDescent="0.2">
      <c r="A39" s="20"/>
      <c r="C39" s="19" t="s">
        <v>50</v>
      </c>
      <c r="I39" s="17"/>
      <c r="J39" s="18" t="s">
        <v>51</v>
      </c>
      <c r="K39" s="79">
        <v>137772999.19999999</v>
      </c>
      <c r="L39" s="79">
        <v>180642342.81999999</v>
      </c>
      <c r="M39" s="79">
        <v>137539245.13</v>
      </c>
      <c r="N39" s="101">
        <v>136316599.09999999</v>
      </c>
      <c r="O39" s="101">
        <v>121045545.8</v>
      </c>
    </row>
    <row r="40" spans="1:15" ht="15.6" customHeight="1" x14ac:dyDescent="0.2">
      <c r="A40" s="20"/>
      <c r="C40" s="19" t="s">
        <v>52</v>
      </c>
      <c r="I40" s="17"/>
      <c r="J40" s="18">
        <v>41</v>
      </c>
      <c r="K40" s="79">
        <v>184642552.22</v>
      </c>
      <c r="L40" s="79">
        <v>126507483.62</v>
      </c>
      <c r="M40" s="79">
        <v>331192069.92000002</v>
      </c>
      <c r="N40" s="101">
        <v>346068556.67000002</v>
      </c>
      <c r="O40" s="101">
        <v>387655999.06</v>
      </c>
    </row>
    <row r="41" spans="1:15" ht="15.6" customHeight="1" x14ac:dyDescent="0.2">
      <c r="A41" s="20"/>
      <c r="C41" s="19" t="s">
        <v>53</v>
      </c>
      <c r="I41" s="17"/>
      <c r="J41" s="18">
        <v>42</v>
      </c>
      <c r="K41" s="79">
        <v>1576408.15</v>
      </c>
      <c r="L41" s="79">
        <v>1263878.23</v>
      </c>
      <c r="M41" s="79">
        <v>506882.23</v>
      </c>
      <c r="N41" s="79">
        <v>355312.99</v>
      </c>
      <c r="O41" s="79">
        <v>563974.36</v>
      </c>
    </row>
    <row r="42" spans="1:15" ht="17.100000000000001" customHeight="1" x14ac:dyDescent="0.2">
      <c r="A42" s="15" t="s">
        <v>54</v>
      </c>
      <c r="B42" s="19" t="s">
        <v>55</v>
      </c>
      <c r="I42" s="17"/>
      <c r="J42" s="18" t="s">
        <v>56</v>
      </c>
      <c r="K42" s="74">
        <f t="shared" ref="K42:N42" si="13">SUM(K43:K45)</f>
        <v>1574637869.3</v>
      </c>
      <c r="L42" s="74">
        <f t="shared" si="13"/>
        <v>1555684439.4900002</v>
      </c>
      <c r="M42" s="74">
        <f t="shared" si="13"/>
        <v>1539008660.0500002</v>
      </c>
      <c r="N42" s="99">
        <f t="shared" si="13"/>
        <v>1597840000.0099998</v>
      </c>
      <c r="O42" s="99">
        <f t="shared" ref="O42" si="14">SUM(O43:O45)</f>
        <v>1568728189.5100002</v>
      </c>
    </row>
    <row r="43" spans="1:15" ht="12.75" customHeight="1" x14ac:dyDescent="0.2">
      <c r="A43" s="15"/>
      <c r="B43" s="19"/>
      <c r="C43" s="19" t="s">
        <v>57</v>
      </c>
      <c r="I43" s="17"/>
      <c r="J43" s="18">
        <v>51</v>
      </c>
      <c r="K43" s="79">
        <v>1095446148.8399999</v>
      </c>
      <c r="L43" s="79">
        <v>1152733515.47</v>
      </c>
      <c r="M43" s="79">
        <v>1114419185.99</v>
      </c>
      <c r="N43" s="101">
        <v>1235301026.3499999</v>
      </c>
      <c r="O43" s="101">
        <v>1288534205.23</v>
      </c>
    </row>
    <row r="44" spans="1:15" x14ac:dyDescent="0.2">
      <c r="A44" s="20"/>
      <c r="C44" s="19" t="s">
        <v>58</v>
      </c>
      <c r="I44" s="17"/>
      <c r="J44" s="18">
        <v>52</v>
      </c>
      <c r="K44" s="74">
        <v>204315176.15000001</v>
      </c>
      <c r="L44" s="74">
        <v>154914158.91</v>
      </c>
      <c r="M44" s="74">
        <v>174675192.37</v>
      </c>
      <c r="N44" s="201">
        <v>153940814.09</v>
      </c>
      <c r="O44" s="201">
        <v>85070908.400000006</v>
      </c>
    </row>
    <row r="45" spans="1:15" x14ac:dyDescent="0.2">
      <c r="A45" s="20"/>
      <c r="C45" s="19" t="s">
        <v>59</v>
      </c>
      <c r="I45" s="17"/>
      <c r="J45" s="18">
        <v>53</v>
      </c>
      <c r="K45" s="74">
        <v>274876544.31</v>
      </c>
      <c r="L45" s="74">
        <v>248036765.11000001</v>
      </c>
      <c r="M45" s="74">
        <v>249914281.69</v>
      </c>
      <c r="N45" s="201">
        <v>208598159.56999999</v>
      </c>
      <c r="O45" s="201">
        <v>195123075.88</v>
      </c>
    </row>
    <row r="46" spans="1:15" ht="17.100000000000001" customHeight="1" x14ac:dyDescent="0.2">
      <c r="A46" s="15" t="s">
        <v>60</v>
      </c>
      <c r="B46" s="19" t="s">
        <v>61</v>
      </c>
      <c r="I46" s="17"/>
      <c r="J46" s="18" t="s">
        <v>62</v>
      </c>
      <c r="K46" s="74">
        <v>603502617.26999998</v>
      </c>
      <c r="L46" s="74">
        <v>589106340.25</v>
      </c>
      <c r="M46" s="74">
        <v>639121843.72000003</v>
      </c>
      <c r="N46" s="74">
        <v>792483163.88999999</v>
      </c>
      <c r="O46" s="74">
        <v>757139209.80999994</v>
      </c>
    </row>
    <row r="47" spans="1:15" ht="17.100000000000001" customHeight="1" x14ac:dyDescent="0.2">
      <c r="A47" s="15" t="s">
        <v>63</v>
      </c>
      <c r="B47" s="19" t="s">
        <v>64</v>
      </c>
      <c r="I47" s="17"/>
      <c r="J47" s="18" t="s">
        <v>65</v>
      </c>
      <c r="K47" s="79">
        <v>21214616.219999999</v>
      </c>
      <c r="L47" s="79">
        <v>22237701.91</v>
      </c>
      <c r="M47" s="79">
        <v>24529734.699999999</v>
      </c>
      <c r="N47" s="79">
        <v>26430223.039999999</v>
      </c>
      <c r="O47" s="79">
        <v>33045332.920000002</v>
      </c>
    </row>
    <row r="48" spans="1:15" ht="6" customHeight="1" x14ac:dyDescent="0.2">
      <c r="A48" s="20"/>
      <c r="I48" s="17"/>
      <c r="J48" s="32"/>
      <c r="K48" s="75"/>
      <c r="L48" s="75"/>
      <c r="M48" s="75"/>
      <c r="N48" s="202"/>
      <c r="O48" s="202"/>
    </row>
    <row r="49" spans="1:15" ht="18" customHeight="1" x14ac:dyDescent="0.2">
      <c r="A49" s="34" t="s">
        <v>66</v>
      </c>
      <c r="B49" s="35"/>
      <c r="C49" s="35"/>
      <c r="D49" s="35"/>
      <c r="E49" s="35"/>
      <c r="F49" s="35"/>
      <c r="G49" s="35"/>
      <c r="H49" s="35"/>
      <c r="I49" s="35"/>
      <c r="J49" s="26" t="s">
        <v>67</v>
      </c>
      <c r="K49" s="50">
        <f t="shared" ref="K49:N49" si="15">K27+K7+K8</f>
        <v>2919454732.8399997</v>
      </c>
      <c r="L49" s="50">
        <f t="shared" si="15"/>
        <v>2875327820.1600003</v>
      </c>
      <c r="M49" s="50">
        <f t="shared" si="15"/>
        <v>4001101155.5400004</v>
      </c>
      <c r="N49" s="49">
        <f t="shared" si="15"/>
        <v>3426685226.7399998</v>
      </c>
      <c r="O49" s="49">
        <f t="shared" ref="O49" si="16">O27+O7+O8</f>
        <v>3273646028.5</v>
      </c>
    </row>
    <row r="50" spans="1:15" ht="6.75" customHeight="1" thickBot="1" x14ac:dyDescent="0.25">
      <c r="A50" s="91"/>
      <c r="B50" s="92"/>
      <c r="C50" s="92"/>
      <c r="D50" s="92"/>
      <c r="E50" s="92"/>
      <c r="F50" s="92"/>
      <c r="G50" s="92"/>
      <c r="H50" s="92"/>
      <c r="I50" s="92"/>
      <c r="J50" s="93"/>
      <c r="K50" s="94"/>
      <c r="L50" s="94"/>
      <c r="M50" s="94"/>
      <c r="N50" s="94"/>
      <c r="O50" s="94"/>
    </row>
    <row r="51" spans="1:15" ht="13.5" thickTop="1" x14ac:dyDescent="0.2">
      <c r="A51" s="2" t="s">
        <v>68</v>
      </c>
      <c r="J51" s="36"/>
      <c r="N51" s="73"/>
      <c r="O51" s="73"/>
    </row>
    <row r="52" spans="1:15" x14ac:dyDescent="0.2">
      <c r="J52" s="2"/>
      <c r="N52" s="73"/>
      <c r="O52" s="73"/>
    </row>
    <row r="53" spans="1:15" x14ac:dyDescent="0.2">
      <c r="J53" s="2"/>
    </row>
    <row r="54" spans="1:15" x14ac:dyDescent="0.2">
      <c r="J54" s="2"/>
    </row>
    <row r="55" spans="1:15" x14ac:dyDescent="0.2">
      <c r="J55" s="2"/>
    </row>
  </sheetData>
  <mergeCells count="1">
    <mergeCell ref="A3:J3"/>
  </mergeCells>
  <pageMargins left="0.19685039370078741" right="3.937007874015748E-2" top="0.21" bottom="0.3" header="0.15" footer="0.19685039370078741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4"/>
  <sheetViews>
    <sheetView topLeftCell="A13" zoomScaleNormal="100" zoomScaleSheetLayoutView="210" workbookViewId="0">
      <selection activeCell="O39" sqref="O39"/>
    </sheetView>
  </sheetViews>
  <sheetFormatPr defaultColWidth="12" defaultRowHeight="12.75" x14ac:dyDescent="0.2"/>
  <cols>
    <col min="1" max="1" width="8.1640625" style="2" customWidth="1"/>
    <col min="2" max="2" width="1" style="2" customWidth="1"/>
    <col min="3" max="3" width="5.5" style="2" customWidth="1"/>
    <col min="4" max="4" width="6.83203125" style="2" customWidth="1"/>
    <col min="5" max="6" width="12" style="2" customWidth="1"/>
    <col min="7" max="7" width="10" style="2" customWidth="1"/>
    <col min="8" max="8" width="4.33203125" style="2" customWidth="1"/>
    <col min="9" max="9" width="3" style="2" customWidth="1"/>
    <col min="10" max="10" width="10.83203125" style="38" customWidth="1"/>
    <col min="11" max="15" width="18.83203125" style="2" customWidth="1"/>
    <col min="16" max="16384" width="12" style="2"/>
  </cols>
  <sheetData>
    <row r="1" spans="1:15" ht="18.75" x14ac:dyDescent="0.3">
      <c r="A1" s="71" t="s">
        <v>196</v>
      </c>
    </row>
    <row r="3" spans="1:15" ht="16.5" customHeight="1" x14ac:dyDescent="0.2">
      <c r="A3" s="210" t="s">
        <v>69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5" ht="15" customHeight="1" x14ac:dyDescent="0.2"/>
    <row r="5" spans="1:15" x14ac:dyDescent="0.2">
      <c r="A5" s="3" t="s">
        <v>70</v>
      </c>
      <c r="B5" s="4"/>
      <c r="C5" s="5"/>
      <c r="D5" s="5"/>
      <c r="E5" s="5"/>
      <c r="F5" s="5"/>
      <c r="G5" s="5"/>
      <c r="H5" s="5"/>
      <c r="I5" s="6"/>
      <c r="J5" s="7" t="s">
        <v>2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1:15" x14ac:dyDescent="0.2">
      <c r="A6" s="8"/>
      <c r="B6" s="9"/>
      <c r="C6" s="9"/>
      <c r="D6" s="9"/>
      <c r="E6" s="9"/>
      <c r="F6" s="9"/>
      <c r="G6" s="9"/>
      <c r="H6" s="9"/>
      <c r="I6" s="10"/>
      <c r="J6" s="11"/>
      <c r="K6" s="12"/>
      <c r="L6" s="12"/>
      <c r="M6" s="12"/>
      <c r="N6" s="12"/>
      <c r="O6" s="12"/>
    </row>
    <row r="7" spans="1:15" ht="19.899999999999999" customHeight="1" x14ac:dyDescent="0.2">
      <c r="A7" s="13" t="s">
        <v>71</v>
      </c>
      <c r="B7" s="4"/>
      <c r="C7" s="5"/>
      <c r="D7" s="5"/>
      <c r="E7" s="5"/>
      <c r="F7" s="5"/>
      <c r="G7" s="5"/>
      <c r="H7" s="5"/>
      <c r="I7" s="5"/>
      <c r="J7" s="39" t="s">
        <v>72</v>
      </c>
      <c r="K7" s="49">
        <f>K8+K14</f>
        <v>1696979915.6900001</v>
      </c>
      <c r="L7" s="49">
        <f>L8+L13</f>
        <v>1656347705.5699999</v>
      </c>
      <c r="M7" s="49">
        <f>M8+M13</f>
        <v>1669441418.99</v>
      </c>
      <c r="N7" s="49">
        <f>N8+N13</f>
        <v>1815500816.0900002</v>
      </c>
      <c r="O7" s="49">
        <f>O8+O13</f>
        <v>1874927924.24</v>
      </c>
    </row>
    <row r="8" spans="1:15" ht="17.25" customHeight="1" x14ac:dyDescent="0.2">
      <c r="A8" s="15" t="s">
        <v>73</v>
      </c>
      <c r="B8" s="19" t="s">
        <v>74</v>
      </c>
      <c r="J8" s="18">
        <v>13</v>
      </c>
      <c r="K8" s="72">
        <f>SUM(K10:K12)</f>
        <v>1698504890.8400002</v>
      </c>
      <c r="L8" s="72">
        <f>+L9+L11</f>
        <v>1609327117.01</v>
      </c>
      <c r="M8" s="72">
        <f>+M9+M11</f>
        <v>1623656453.3299999</v>
      </c>
      <c r="N8" s="72">
        <f>+N9+N11</f>
        <v>1768015654.3600001</v>
      </c>
      <c r="O8" s="72">
        <f>+O9+O11</f>
        <v>1827948454.71</v>
      </c>
    </row>
    <row r="9" spans="1:15" s="1" customFormat="1" ht="24" customHeight="1" x14ac:dyDescent="0.2">
      <c r="A9" s="195"/>
      <c r="B9" s="196"/>
      <c r="C9" s="197" t="s">
        <v>223</v>
      </c>
      <c r="J9" s="198" t="s">
        <v>242</v>
      </c>
      <c r="K9" s="199"/>
      <c r="L9" s="200">
        <v>1410771148.4400001</v>
      </c>
      <c r="M9" s="200">
        <v>1466585221.21</v>
      </c>
      <c r="N9" s="104">
        <v>1610339561.71</v>
      </c>
      <c r="O9" s="104">
        <v>1670019568.9000001</v>
      </c>
    </row>
    <row r="10" spans="1:15" x14ac:dyDescent="0.2">
      <c r="A10" s="20"/>
      <c r="C10" s="84" t="s">
        <v>226</v>
      </c>
      <c r="J10" s="18" t="s">
        <v>75</v>
      </c>
      <c r="K10" s="72">
        <v>791516733.71000004</v>
      </c>
      <c r="L10" s="83"/>
      <c r="M10" s="83"/>
      <c r="N10" s="194"/>
      <c r="O10" s="194"/>
    </row>
    <row r="11" spans="1:15" x14ac:dyDescent="0.2">
      <c r="A11" s="208"/>
      <c r="C11" s="84" t="s">
        <v>224</v>
      </c>
      <c r="J11" s="18" t="s">
        <v>244</v>
      </c>
      <c r="K11" s="83"/>
      <c r="L11" s="72">
        <v>198555968.56999999</v>
      </c>
      <c r="M11" s="72">
        <v>157071232.12</v>
      </c>
      <c r="N11" s="104">
        <v>157676092.65000001</v>
      </c>
      <c r="O11" s="104">
        <v>157928885.81</v>
      </c>
    </row>
    <row r="12" spans="1:15" x14ac:dyDescent="0.2">
      <c r="A12" s="208"/>
      <c r="C12" s="84" t="s">
        <v>227</v>
      </c>
      <c r="J12" s="18">
        <v>1398</v>
      </c>
      <c r="K12" s="72">
        <v>906988157.13</v>
      </c>
      <c r="L12" s="83"/>
      <c r="M12" s="83"/>
      <c r="N12" s="194"/>
      <c r="O12" s="194"/>
    </row>
    <row r="13" spans="1:15" x14ac:dyDescent="0.2">
      <c r="A13" s="209" t="s">
        <v>76</v>
      </c>
      <c r="B13" t="s">
        <v>225</v>
      </c>
      <c r="C13" s="19"/>
      <c r="J13" s="18" t="s">
        <v>243</v>
      </c>
      <c r="K13" s="83"/>
      <c r="L13" s="72">
        <v>47020588.560000002</v>
      </c>
      <c r="M13" s="72">
        <v>45784965.659999996</v>
      </c>
      <c r="N13" s="104">
        <v>47485161.729999997</v>
      </c>
      <c r="O13" s="104">
        <v>46979469.530000001</v>
      </c>
    </row>
    <row r="14" spans="1:15" ht="17.100000000000001" customHeight="1" x14ac:dyDescent="0.2">
      <c r="A14" s="208" t="s">
        <v>76</v>
      </c>
      <c r="B14" s="84" t="s">
        <v>228</v>
      </c>
      <c r="J14" s="18">
        <v>14</v>
      </c>
      <c r="K14" s="72">
        <v>-1524975.15</v>
      </c>
      <c r="L14" s="83"/>
      <c r="M14" s="83"/>
      <c r="N14" s="194"/>
      <c r="O14" s="194"/>
    </row>
    <row r="15" spans="1:15" x14ac:dyDescent="0.2">
      <c r="A15" s="208"/>
      <c r="C15" s="84" t="s">
        <v>229</v>
      </c>
      <c r="I15" s="2" t="s">
        <v>77</v>
      </c>
      <c r="J15" s="18" t="s">
        <v>78</v>
      </c>
      <c r="K15" s="72">
        <v>-1524975.15</v>
      </c>
      <c r="L15" s="83"/>
      <c r="M15" s="83"/>
      <c r="N15" s="194"/>
      <c r="O15" s="194"/>
    </row>
    <row r="16" spans="1:15" x14ac:dyDescent="0.2">
      <c r="A16" s="20"/>
      <c r="C16" s="84" t="s">
        <v>230</v>
      </c>
      <c r="I16" s="2" t="s">
        <v>77</v>
      </c>
      <c r="J16" s="18">
        <v>1498</v>
      </c>
      <c r="K16" s="72">
        <v>0</v>
      </c>
      <c r="L16" s="83"/>
      <c r="M16" s="83"/>
      <c r="N16" s="194"/>
      <c r="O16" s="194"/>
    </row>
    <row r="17" spans="1:15" ht="19.899999999999999" customHeight="1" x14ac:dyDescent="0.2">
      <c r="A17" s="22" t="s">
        <v>79</v>
      </c>
      <c r="B17" s="23"/>
      <c r="C17" s="40"/>
      <c r="D17" s="40"/>
      <c r="E17" s="40"/>
      <c r="F17" s="40"/>
      <c r="G17" s="40"/>
      <c r="H17" s="40"/>
      <c r="I17" s="40"/>
      <c r="J17" s="26">
        <v>16</v>
      </c>
      <c r="K17" s="50">
        <f t="shared" ref="K17:N17" si="0">SUM(K18:K19)</f>
        <v>302947927.25999999</v>
      </c>
      <c r="L17" s="50">
        <f t="shared" si="0"/>
        <v>277302180.29000002</v>
      </c>
      <c r="M17" s="50">
        <f t="shared" si="0"/>
        <v>255459136.28999999</v>
      </c>
      <c r="N17" s="50">
        <f t="shared" si="0"/>
        <v>250008414.16999999</v>
      </c>
      <c r="O17" s="50">
        <f t="shared" ref="O17" si="1">SUM(O18:O19)</f>
        <v>230735523.44</v>
      </c>
    </row>
    <row r="18" spans="1:15" ht="17.25" customHeight="1" x14ac:dyDescent="0.2">
      <c r="A18" s="15" t="s">
        <v>80</v>
      </c>
      <c r="B18" s="19" t="s">
        <v>81</v>
      </c>
      <c r="J18" s="18">
        <v>160</v>
      </c>
      <c r="K18" s="72">
        <v>204912585.91</v>
      </c>
      <c r="L18" s="72">
        <v>187641024.5</v>
      </c>
      <c r="M18" s="72">
        <v>170420709.56999999</v>
      </c>
      <c r="N18" s="72">
        <v>154530311.53999999</v>
      </c>
      <c r="O18" s="72">
        <v>133309004.69</v>
      </c>
    </row>
    <row r="19" spans="1:15" ht="17.100000000000001" customHeight="1" x14ac:dyDescent="0.2">
      <c r="A19" s="15" t="s">
        <v>17</v>
      </c>
      <c r="B19" s="19" t="s">
        <v>82</v>
      </c>
      <c r="J19" s="18" t="s">
        <v>83</v>
      </c>
      <c r="K19" s="72">
        <v>98035341.349999994</v>
      </c>
      <c r="L19" s="72">
        <v>89661155.790000007</v>
      </c>
      <c r="M19" s="72">
        <v>85038426.719999999</v>
      </c>
      <c r="N19" s="72">
        <v>95478102.629999995</v>
      </c>
      <c r="O19" s="72">
        <v>97426518.75</v>
      </c>
    </row>
    <row r="20" spans="1:15" ht="19.899999999999999" customHeight="1" x14ac:dyDescent="0.2">
      <c r="A20" s="22" t="s">
        <v>84</v>
      </c>
      <c r="B20" s="23"/>
      <c r="C20" s="23"/>
      <c r="D20" s="23"/>
      <c r="E20" s="23"/>
      <c r="F20" s="23"/>
      <c r="G20" s="23"/>
      <c r="H20" s="23"/>
      <c r="I20" s="23"/>
      <c r="J20" s="26" t="s">
        <v>85</v>
      </c>
      <c r="K20" s="50">
        <f t="shared" ref="K20:N20" si="2">K21+K28+K45</f>
        <v>919526889.88999999</v>
      </c>
      <c r="L20" s="50">
        <f t="shared" si="2"/>
        <v>941677934.29999995</v>
      </c>
      <c r="M20" s="50">
        <f t="shared" si="2"/>
        <v>2076200600.26</v>
      </c>
      <c r="N20" s="50">
        <f t="shared" si="2"/>
        <v>1361175996.4799998</v>
      </c>
      <c r="O20" s="50">
        <f t="shared" ref="O20" si="3">O21+O28+O45</f>
        <v>1167982580.8200002</v>
      </c>
    </row>
    <row r="21" spans="1:15" ht="17.25" customHeight="1" x14ac:dyDescent="0.2">
      <c r="A21" s="15" t="s">
        <v>27</v>
      </c>
      <c r="B21" s="19" t="s">
        <v>86</v>
      </c>
      <c r="J21" s="18" t="s">
        <v>87</v>
      </c>
      <c r="K21" s="72">
        <f t="shared" ref="K21:N21" si="4">SUM(K22:K25)</f>
        <v>236919525.27000001</v>
      </c>
      <c r="L21" s="72">
        <f t="shared" si="4"/>
        <v>256088625.39000002</v>
      </c>
      <c r="M21" s="72">
        <f t="shared" si="4"/>
        <v>220702043.5</v>
      </c>
      <c r="N21" s="72">
        <f t="shared" si="4"/>
        <v>185681041.18000001</v>
      </c>
      <c r="O21" s="72">
        <f t="shared" ref="O21" si="5">SUM(O22:O25)</f>
        <v>173447681.19</v>
      </c>
    </row>
    <row r="22" spans="1:15" ht="17.25" customHeight="1" x14ac:dyDescent="0.2">
      <c r="A22" s="15"/>
      <c r="B22" s="19"/>
      <c r="C22" s="2" t="s">
        <v>88</v>
      </c>
      <c r="J22" s="18" t="s">
        <v>89</v>
      </c>
      <c r="K22" s="72">
        <v>8306381.1299999999</v>
      </c>
      <c r="L22" s="72">
        <v>7406570.04</v>
      </c>
      <c r="M22" s="72">
        <v>6497052.2400000002</v>
      </c>
      <c r="N22" s="72">
        <v>5577346.7300000004</v>
      </c>
      <c r="O22" s="72">
        <v>4646948.66</v>
      </c>
    </row>
    <row r="23" spans="1:15" x14ac:dyDescent="0.2">
      <c r="A23" s="20"/>
      <c r="C23" s="19" t="s">
        <v>90</v>
      </c>
      <c r="J23" s="18">
        <v>18</v>
      </c>
      <c r="K23" s="72">
        <v>131568527.44</v>
      </c>
      <c r="L23" s="72">
        <v>119761570.11</v>
      </c>
      <c r="M23" s="72">
        <v>106940279.67</v>
      </c>
      <c r="N23" s="104">
        <v>95018173.959999993</v>
      </c>
      <c r="O23" s="104">
        <v>83275875.430000007</v>
      </c>
    </row>
    <row r="24" spans="1:15" x14ac:dyDescent="0.2">
      <c r="A24" s="20"/>
      <c r="C24" s="19" t="s">
        <v>91</v>
      </c>
      <c r="J24" s="18">
        <v>19</v>
      </c>
      <c r="K24" s="72">
        <v>75448456.989999995</v>
      </c>
      <c r="L24" s="72">
        <v>107996143.18000001</v>
      </c>
      <c r="M24" s="72">
        <v>87668937.5</v>
      </c>
      <c r="N24" s="104">
        <v>62918152.060000002</v>
      </c>
      <c r="O24" s="104">
        <v>60110350.060000002</v>
      </c>
    </row>
    <row r="25" spans="1:15" x14ac:dyDescent="0.2">
      <c r="A25" s="20"/>
      <c r="C25" s="19" t="s">
        <v>92</v>
      </c>
      <c r="J25" s="18" t="s">
        <v>93</v>
      </c>
      <c r="K25" s="72">
        <v>21596159.710000001</v>
      </c>
      <c r="L25" s="72">
        <v>20924342.059999999</v>
      </c>
      <c r="M25" s="72">
        <v>19595774.09</v>
      </c>
      <c r="N25" s="104">
        <v>22167368.43</v>
      </c>
      <c r="O25" s="104">
        <v>25414507.039999999</v>
      </c>
    </row>
    <row r="26" spans="1:15" x14ac:dyDescent="0.2">
      <c r="A26" s="20"/>
      <c r="C26" s="2" t="s">
        <v>94</v>
      </c>
      <c r="J26" s="18"/>
      <c r="K26" s="76"/>
      <c r="L26" s="76"/>
      <c r="M26" s="76"/>
      <c r="N26" s="76"/>
      <c r="O26" s="76"/>
    </row>
    <row r="27" spans="1:15" x14ac:dyDescent="0.2">
      <c r="A27" s="20"/>
      <c r="C27" s="2" t="s">
        <v>95</v>
      </c>
      <c r="J27" s="18"/>
      <c r="K27" s="76"/>
      <c r="L27" s="76"/>
      <c r="M27" s="76"/>
      <c r="N27" s="76"/>
      <c r="O27" s="76"/>
    </row>
    <row r="28" spans="1:15" ht="17.100000000000001" customHeight="1" x14ac:dyDescent="0.2">
      <c r="A28" s="15" t="s">
        <v>96</v>
      </c>
      <c r="B28" s="19" t="s">
        <v>97</v>
      </c>
      <c r="J28" s="18" t="s">
        <v>98</v>
      </c>
      <c r="K28" s="72">
        <f t="shared" ref="K28:N28" si="6">K29+K30+K39+K42+K43+K44</f>
        <v>582131328.88999999</v>
      </c>
      <c r="L28" s="72">
        <f t="shared" si="6"/>
        <v>579947735.32999992</v>
      </c>
      <c r="M28" s="72">
        <f t="shared" si="6"/>
        <v>1758146082.49</v>
      </c>
      <c r="N28" s="72">
        <f t="shared" si="6"/>
        <v>1047341995.8299998</v>
      </c>
      <c r="O28" s="72">
        <f t="shared" ref="O28" si="7">O29+O30+O39+O42+O43+O44</f>
        <v>895672938.97000003</v>
      </c>
    </row>
    <row r="29" spans="1:15" x14ac:dyDescent="0.2">
      <c r="A29" s="20"/>
      <c r="C29" s="19" t="s">
        <v>88</v>
      </c>
      <c r="J29" s="18">
        <v>43</v>
      </c>
      <c r="K29" s="72">
        <v>16009264.1</v>
      </c>
      <c r="L29" s="72">
        <v>27522719.539999999</v>
      </c>
      <c r="M29" s="72">
        <v>49864329.289999999</v>
      </c>
      <c r="N29" s="104">
        <v>44303810.950000003</v>
      </c>
      <c r="O29" s="104">
        <v>20650163.690000001</v>
      </c>
    </row>
    <row r="30" spans="1:15" x14ac:dyDescent="0.2">
      <c r="A30" s="20"/>
      <c r="C30" s="28" t="s">
        <v>99</v>
      </c>
      <c r="D30" s="29"/>
      <c r="E30" s="29"/>
      <c r="J30" s="18">
        <v>44</v>
      </c>
      <c r="K30" s="72">
        <f t="shared" ref="K30:N30" si="8">SUM(K31:K37)</f>
        <v>91827991.169999987</v>
      </c>
      <c r="L30" s="72">
        <f t="shared" si="8"/>
        <v>99212887.400000006</v>
      </c>
      <c r="M30" s="72">
        <f t="shared" si="8"/>
        <v>1119151351.28</v>
      </c>
      <c r="N30" s="72">
        <f t="shared" si="8"/>
        <v>382700852.15999991</v>
      </c>
      <c r="O30" s="72">
        <f t="shared" ref="O30" si="9">SUM(O31:O37)</f>
        <v>298499796.38000005</v>
      </c>
    </row>
    <row r="31" spans="1:15" s="37" customFormat="1" ht="12" x14ac:dyDescent="0.2">
      <c r="A31" s="51"/>
      <c r="C31" s="52"/>
      <c r="D31" s="58" t="s">
        <v>100</v>
      </c>
      <c r="E31" s="59"/>
      <c r="J31" s="54" t="s">
        <v>101</v>
      </c>
      <c r="K31" s="55">
        <v>70104027.719999999</v>
      </c>
      <c r="L31" s="55">
        <v>76142824.439999998</v>
      </c>
      <c r="M31" s="55">
        <v>1100476644.6099999</v>
      </c>
      <c r="N31" s="55">
        <v>348435440.51999998</v>
      </c>
      <c r="O31" s="55">
        <v>274222086.97000003</v>
      </c>
    </row>
    <row r="32" spans="1:15" s="37" customFormat="1" ht="12" x14ac:dyDescent="0.2">
      <c r="A32" s="51"/>
      <c r="C32" s="52"/>
      <c r="D32" s="60" t="s">
        <v>102</v>
      </c>
      <c r="E32" s="61"/>
      <c r="J32" s="54"/>
      <c r="K32" s="82"/>
      <c r="L32" s="82"/>
      <c r="M32" s="82"/>
      <c r="N32" s="82"/>
      <c r="O32" s="82"/>
    </row>
    <row r="33" spans="1:15" s="37" customFormat="1" ht="12" x14ac:dyDescent="0.2">
      <c r="A33" s="51"/>
      <c r="C33" s="52"/>
      <c r="D33" s="60" t="s">
        <v>103</v>
      </c>
      <c r="E33" s="61"/>
      <c r="J33" s="54">
        <v>446</v>
      </c>
      <c r="K33" s="55">
        <v>234328.32000000001</v>
      </c>
      <c r="L33" s="55">
        <v>284149.40999999997</v>
      </c>
      <c r="M33" s="55">
        <v>104999.39</v>
      </c>
      <c r="N33" s="55">
        <v>93831.28</v>
      </c>
      <c r="O33" s="55">
        <v>54466.03</v>
      </c>
    </row>
    <row r="34" spans="1:15" s="37" customFormat="1" ht="12" x14ac:dyDescent="0.2">
      <c r="A34" s="51"/>
      <c r="C34" s="52"/>
      <c r="D34" s="60" t="s">
        <v>104</v>
      </c>
      <c r="E34" s="61"/>
      <c r="J34" s="54">
        <v>447</v>
      </c>
      <c r="K34" s="55">
        <v>4265685.3899999997</v>
      </c>
      <c r="L34" s="55">
        <v>4285168.4000000004</v>
      </c>
      <c r="M34" s="55">
        <v>763192.23</v>
      </c>
      <c r="N34" s="55">
        <v>1393222.88</v>
      </c>
      <c r="O34" s="55">
        <v>1974680.17</v>
      </c>
    </row>
    <row r="35" spans="1:15" s="37" customFormat="1" ht="12" x14ac:dyDescent="0.2">
      <c r="A35" s="51"/>
      <c r="C35" s="52"/>
      <c r="D35" s="52" t="s">
        <v>105</v>
      </c>
      <c r="J35" s="54">
        <v>4480</v>
      </c>
      <c r="K35" s="55">
        <v>15685574.300000001</v>
      </c>
      <c r="L35" s="55">
        <v>16113630.640000001</v>
      </c>
      <c r="M35" s="55">
        <v>15988990.74</v>
      </c>
      <c r="N35" s="55">
        <v>16991951.649999999</v>
      </c>
      <c r="O35" s="55">
        <v>17528065.789999999</v>
      </c>
    </row>
    <row r="36" spans="1:15" s="37" customFormat="1" ht="12" x14ac:dyDescent="0.2">
      <c r="A36" s="51"/>
      <c r="C36" s="52"/>
      <c r="D36" s="52" t="s">
        <v>106</v>
      </c>
      <c r="J36" s="54">
        <v>4481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</row>
    <row r="37" spans="1:15" s="37" customFormat="1" ht="12" x14ac:dyDescent="0.2">
      <c r="A37" s="51"/>
      <c r="D37" s="52" t="s">
        <v>107</v>
      </c>
      <c r="J37" s="54">
        <v>449</v>
      </c>
      <c r="K37" s="55">
        <v>1538375.44</v>
      </c>
      <c r="L37" s="55">
        <v>2387114.5099999998</v>
      </c>
      <c r="M37" s="55">
        <v>1817524.31</v>
      </c>
      <c r="N37" s="55">
        <v>15786405.83</v>
      </c>
      <c r="O37" s="55">
        <v>4720497.42</v>
      </c>
    </row>
    <row r="38" spans="1:15" x14ac:dyDescent="0.2">
      <c r="A38" s="20"/>
      <c r="C38" s="19" t="s">
        <v>108</v>
      </c>
      <c r="J38" s="18"/>
      <c r="K38" s="76"/>
      <c r="L38" s="76"/>
      <c r="M38" s="76"/>
      <c r="N38" s="76"/>
      <c r="O38" s="76"/>
    </row>
    <row r="39" spans="1:15" x14ac:dyDescent="0.2">
      <c r="A39" s="20"/>
      <c r="C39" s="19" t="s">
        <v>109</v>
      </c>
      <c r="J39" s="18">
        <v>45</v>
      </c>
      <c r="K39" s="72">
        <f t="shared" ref="K39:N39" si="10">SUM(K40:K41)</f>
        <v>98252571.220000014</v>
      </c>
      <c r="L39" s="72">
        <f t="shared" si="10"/>
        <v>102107635.78</v>
      </c>
      <c r="M39" s="72">
        <f t="shared" si="10"/>
        <v>140436459.66</v>
      </c>
      <c r="N39" s="72">
        <f t="shared" si="10"/>
        <v>145932975.86999997</v>
      </c>
      <c r="O39" s="72">
        <f t="shared" ref="O39" si="11">SUM(O40:O41)</f>
        <v>152970938.38000003</v>
      </c>
    </row>
    <row r="40" spans="1:15" s="37" customFormat="1" ht="12" x14ac:dyDescent="0.2">
      <c r="A40" s="51"/>
      <c r="D40" s="52" t="s">
        <v>110</v>
      </c>
      <c r="J40" s="54" t="s">
        <v>111</v>
      </c>
      <c r="K40" s="55">
        <v>521570.68</v>
      </c>
      <c r="L40" s="55">
        <v>589685.68999999994</v>
      </c>
      <c r="M40" s="55">
        <v>433718.96</v>
      </c>
      <c r="N40" s="55">
        <v>495795.7</v>
      </c>
      <c r="O40" s="55">
        <v>315754.86</v>
      </c>
    </row>
    <row r="41" spans="1:15" s="37" customFormat="1" ht="12" x14ac:dyDescent="0.2">
      <c r="A41" s="51"/>
      <c r="D41" s="52" t="s">
        <v>112</v>
      </c>
      <c r="J41" s="54" t="s">
        <v>113</v>
      </c>
      <c r="K41" s="55">
        <v>97731000.540000007</v>
      </c>
      <c r="L41" s="55">
        <v>101517950.09</v>
      </c>
      <c r="M41" s="55">
        <v>140002740.69999999</v>
      </c>
      <c r="N41" s="55">
        <v>145437180.16999999</v>
      </c>
      <c r="O41" s="55">
        <v>152655183.52000001</v>
      </c>
    </row>
    <row r="42" spans="1:15" x14ac:dyDescent="0.2">
      <c r="A42" s="20"/>
      <c r="C42" s="19" t="s">
        <v>114</v>
      </c>
      <c r="D42" s="41"/>
      <c r="J42" s="18">
        <v>470</v>
      </c>
      <c r="K42" s="72">
        <v>9334801.6400000006</v>
      </c>
      <c r="L42" s="72">
        <v>7431554.5</v>
      </c>
      <c r="M42" s="72">
        <v>16404877.640000001</v>
      </c>
      <c r="N42" s="104">
        <v>14473514.41</v>
      </c>
      <c r="O42" s="104">
        <v>9773504.1600000001</v>
      </c>
    </row>
    <row r="43" spans="1:15" x14ac:dyDescent="0.2">
      <c r="A43" s="20"/>
      <c r="C43" s="19" t="s">
        <v>115</v>
      </c>
      <c r="J43" s="18" t="s">
        <v>116</v>
      </c>
      <c r="K43" s="72">
        <v>193839057.50999999</v>
      </c>
      <c r="L43" s="72">
        <v>226532569.22999999</v>
      </c>
      <c r="M43" s="72">
        <v>205176550.84999999</v>
      </c>
      <c r="N43" s="104">
        <v>205471764.56</v>
      </c>
      <c r="O43" s="104">
        <v>188625969.43000001</v>
      </c>
    </row>
    <row r="44" spans="1:15" x14ac:dyDescent="0.2">
      <c r="A44" s="20"/>
      <c r="C44" s="19" t="s">
        <v>117</v>
      </c>
      <c r="J44" s="18">
        <v>48</v>
      </c>
      <c r="K44" s="72">
        <v>172867643.25</v>
      </c>
      <c r="L44" s="72">
        <v>117140368.88</v>
      </c>
      <c r="M44" s="72">
        <v>227112513.77000001</v>
      </c>
      <c r="N44" s="104">
        <v>254459077.88</v>
      </c>
      <c r="O44" s="104">
        <v>225152566.93000001</v>
      </c>
    </row>
    <row r="45" spans="1:15" ht="17.100000000000001" customHeight="1" x14ac:dyDescent="0.2">
      <c r="A45" s="15" t="s">
        <v>37</v>
      </c>
      <c r="B45" s="19" t="s">
        <v>64</v>
      </c>
      <c r="J45" s="18" t="s">
        <v>118</v>
      </c>
      <c r="K45" s="72">
        <v>100476035.73</v>
      </c>
      <c r="L45" s="72">
        <v>105641573.58</v>
      </c>
      <c r="M45" s="72">
        <v>97352474.269999996</v>
      </c>
      <c r="N45" s="72">
        <v>128152959.47</v>
      </c>
      <c r="O45" s="72">
        <v>98861960.659999996</v>
      </c>
    </row>
    <row r="46" spans="1:15" ht="6" customHeight="1" x14ac:dyDescent="0.2">
      <c r="A46" s="42"/>
      <c r="B46" s="43"/>
      <c r="C46" s="9"/>
      <c r="D46" s="9"/>
      <c r="E46" s="9"/>
      <c r="F46" s="9"/>
      <c r="G46" s="9"/>
      <c r="H46" s="9"/>
      <c r="I46" s="9"/>
      <c r="J46" s="44"/>
      <c r="K46" s="77"/>
      <c r="L46" s="77"/>
      <c r="M46" s="77"/>
      <c r="N46" s="76"/>
      <c r="O46" s="76"/>
    </row>
    <row r="47" spans="1:15" ht="18" customHeight="1" x14ac:dyDescent="0.2">
      <c r="A47" s="45" t="s">
        <v>119</v>
      </c>
      <c r="B47" s="40"/>
      <c r="C47" s="24"/>
      <c r="D47" s="24"/>
      <c r="E47" s="24"/>
      <c r="F47" s="24"/>
      <c r="G47" s="24"/>
      <c r="H47" s="24"/>
      <c r="I47" s="24"/>
      <c r="J47" s="26" t="s">
        <v>120</v>
      </c>
      <c r="K47" s="49">
        <f t="shared" ref="K47:M47" si="12">K7+K17+K20</f>
        <v>2919454732.8400002</v>
      </c>
      <c r="L47" s="49">
        <f t="shared" si="12"/>
        <v>2875327820.1599998</v>
      </c>
      <c r="M47" s="49">
        <f t="shared" si="12"/>
        <v>4001101155.54</v>
      </c>
      <c r="N47" s="49">
        <f>N7+N17+N20</f>
        <v>3426685226.7399998</v>
      </c>
      <c r="O47" s="49">
        <f>O7+O17+O20</f>
        <v>3273646028.5</v>
      </c>
    </row>
    <row r="48" spans="1:15" ht="6.75" customHeight="1" thickBo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8"/>
      <c r="K48" s="78"/>
      <c r="L48" s="78"/>
      <c r="M48" s="78"/>
      <c r="N48" s="78"/>
      <c r="O48" s="78"/>
    </row>
    <row r="49" spans="10:13" ht="13.5" thickTop="1" x14ac:dyDescent="0.2">
      <c r="J49" s="36"/>
    </row>
    <row r="50" spans="10:13" ht="16.5" customHeight="1" x14ac:dyDescent="0.2">
      <c r="J50" s="36"/>
    </row>
    <row r="51" spans="10:13" x14ac:dyDescent="0.2">
      <c r="J51" s="36"/>
      <c r="K51" s="36"/>
      <c r="L51" s="36"/>
      <c r="M51" s="36"/>
    </row>
    <row r="52" spans="10:13" x14ac:dyDescent="0.2">
      <c r="K52" s="36"/>
      <c r="L52" s="36"/>
      <c r="M52" s="36"/>
    </row>
    <row r="53" spans="10:13" x14ac:dyDescent="0.2">
      <c r="K53" s="36"/>
      <c r="L53" s="36"/>
      <c r="M53" s="36"/>
    </row>
    <row r="54" spans="10:13" x14ac:dyDescent="0.2">
      <c r="K54" s="36"/>
      <c r="L54" s="36"/>
      <c r="M54" s="36"/>
    </row>
  </sheetData>
  <mergeCells count="1">
    <mergeCell ref="A3:J3"/>
  </mergeCells>
  <pageMargins left="0.19685039370078741" right="0" top="0.78740157480314965" bottom="0.46" header="0.51181102362204722" footer="0.31496062992125984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5"/>
  <sheetViews>
    <sheetView tabSelected="1" topLeftCell="A28" zoomScaleNormal="100" zoomScaleSheetLayoutView="120" workbookViewId="0">
      <selection activeCell="F43" sqref="F43"/>
    </sheetView>
  </sheetViews>
  <sheetFormatPr defaultColWidth="12" defaultRowHeight="12.75" x14ac:dyDescent="0.2"/>
  <cols>
    <col min="1" max="1" width="6.33203125" style="56" customWidth="1"/>
    <col min="2" max="2" width="4.83203125" style="56" customWidth="1"/>
    <col min="3" max="3" width="45.83203125" style="56" customWidth="1"/>
    <col min="4" max="4" width="3.6640625" style="56" customWidth="1"/>
    <col min="5" max="5" width="11" style="63" customWidth="1"/>
    <col min="6" max="8" width="16.83203125" style="56" customWidth="1"/>
    <col min="9" max="10" width="18.1640625" style="29" customWidth="1"/>
    <col min="11" max="16384" width="12" style="56"/>
  </cols>
  <sheetData>
    <row r="1" spans="1:10" ht="18.75" x14ac:dyDescent="0.3">
      <c r="A1" s="71" t="s">
        <v>196</v>
      </c>
    </row>
    <row r="3" spans="1:10" ht="15.75" customHeight="1" x14ac:dyDescent="0.2">
      <c r="A3" s="211" t="s">
        <v>121</v>
      </c>
      <c r="B3" s="211"/>
      <c r="C3" s="211"/>
      <c r="D3" s="211"/>
      <c r="E3" s="211"/>
    </row>
    <row r="4" spans="1:10" ht="15" customHeight="1" x14ac:dyDescent="0.2"/>
    <row r="5" spans="1:10" s="64" customFormat="1" ht="20.100000000000001" customHeight="1" x14ac:dyDescent="0.2">
      <c r="A5" s="127" t="s">
        <v>122</v>
      </c>
      <c r="B5" s="128"/>
      <c r="C5" s="128"/>
      <c r="D5" s="128"/>
      <c r="E5" s="207" t="s">
        <v>2</v>
      </c>
      <c r="F5" s="106" t="s">
        <v>200</v>
      </c>
      <c r="G5" s="106" t="s">
        <v>201</v>
      </c>
      <c r="H5" s="106" t="s">
        <v>241</v>
      </c>
      <c r="I5" s="106" t="s">
        <v>245</v>
      </c>
      <c r="J5" s="106" t="s">
        <v>250</v>
      </c>
    </row>
    <row r="6" spans="1:10" s="65" customFormat="1" ht="6" customHeight="1" x14ac:dyDescent="0.2">
      <c r="A6" s="115"/>
      <c r="B6" s="129"/>
      <c r="C6" s="129"/>
      <c r="D6" s="129"/>
      <c r="E6" s="212"/>
      <c r="F6" s="107"/>
      <c r="G6" s="107"/>
      <c r="H6" s="107"/>
      <c r="I6" s="107"/>
      <c r="J6" s="107"/>
    </row>
    <row r="7" spans="1:10" s="65" customFormat="1" ht="12" customHeight="1" x14ac:dyDescent="0.2">
      <c r="A7" s="130" t="s">
        <v>4</v>
      </c>
      <c r="B7" s="131" t="s">
        <v>123</v>
      </c>
      <c r="C7" s="21"/>
      <c r="D7" s="111"/>
      <c r="E7" s="21"/>
      <c r="F7" s="108">
        <f t="shared" ref="F7" si="0">SUM(F8:F9)</f>
        <v>846978063.05000007</v>
      </c>
      <c r="G7" s="108">
        <f>SUM(G8:G9)</f>
        <v>881995603.85000002</v>
      </c>
      <c r="H7" s="108">
        <f>SUM(H8:H9)</f>
        <v>936257960.44999993</v>
      </c>
      <c r="I7" s="108">
        <f>SUM(I8:I9)</f>
        <v>982946777.71000004</v>
      </c>
      <c r="J7" s="108">
        <f>SUM(J8:J9)</f>
        <v>1014733010.76</v>
      </c>
    </row>
    <row r="8" spans="1:10" s="65" customFormat="1" ht="12" customHeight="1" x14ac:dyDescent="0.2">
      <c r="A8" s="132" t="s">
        <v>124</v>
      </c>
      <c r="B8" s="131" t="s">
        <v>125</v>
      </c>
      <c r="C8" s="133"/>
      <c r="D8" s="111" t="s">
        <v>126</v>
      </c>
      <c r="E8" s="134">
        <v>7000</v>
      </c>
      <c r="F8" s="31">
        <f>859791056.35</f>
        <v>859791056.35000002</v>
      </c>
      <c r="G8" s="31">
        <v>906341911.65999997</v>
      </c>
      <c r="H8" s="31">
        <v>956773342.03999996</v>
      </c>
      <c r="I8" s="101">
        <v>1000913105.48</v>
      </c>
      <c r="J8" s="101">
        <v>1032839455.03</v>
      </c>
    </row>
    <row r="9" spans="1:10" s="65" customFormat="1" ht="12" customHeight="1" x14ac:dyDescent="0.2">
      <c r="A9" s="132" t="s">
        <v>127</v>
      </c>
      <c r="B9" s="131" t="s">
        <v>128</v>
      </c>
      <c r="C9" s="133"/>
      <c r="D9" s="135" t="s">
        <v>129</v>
      </c>
      <c r="E9" s="134">
        <v>7009</v>
      </c>
      <c r="F9" s="31">
        <v>-12812993.300000001</v>
      </c>
      <c r="G9" s="31">
        <v>-24346307.809999999</v>
      </c>
      <c r="H9" s="31">
        <v>-20515381.59</v>
      </c>
      <c r="I9" s="113">
        <v>-17966327.77</v>
      </c>
      <c r="J9" s="113">
        <v>-18106444.27</v>
      </c>
    </row>
    <row r="10" spans="1:10" s="65" customFormat="1" ht="12" customHeight="1" x14ac:dyDescent="0.2">
      <c r="A10" s="114" t="s">
        <v>6</v>
      </c>
      <c r="B10" s="131" t="s">
        <v>130</v>
      </c>
      <c r="C10" s="133"/>
      <c r="D10" s="111" t="s">
        <v>126</v>
      </c>
      <c r="E10" s="136">
        <v>701</v>
      </c>
      <c r="F10" s="31">
        <v>317627692.48000002</v>
      </c>
      <c r="G10" s="31">
        <v>575150448.08000004</v>
      </c>
      <c r="H10" s="31">
        <v>2335584778.3499999</v>
      </c>
      <c r="I10" s="101">
        <v>2588637615.3699999</v>
      </c>
      <c r="J10" s="101">
        <v>2568948765.75</v>
      </c>
    </row>
    <row r="11" spans="1:10" s="65" customFormat="1" ht="15" customHeight="1" x14ac:dyDescent="0.2">
      <c r="A11" s="114" t="s">
        <v>8</v>
      </c>
      <c r="B11" s="131" t="s">
        <v>131</v>
      </c>
      <c r="C11" s="133"/>
      <c r="D11" s="29"/>
      <c r="E11" s="21"/>
      <c r="F11" s="31">
        <f t="shared" ref="F11" si="1">SUM(F12:F14)</f>
        <v>-1120469923.45</v>
      </c>
      <c r="G11" s="31">
        <f>SUM(G12:G14)</f>
        <v>-1415736750.1099999</v>
      </c>
      <c r="H11" s="31">
        <f>SUM(H12:H14)</f>
        <v>-3173840880.52</v>
      </c>
      <c r="I11" s="31">
        <f>SUM(I12:I14)</f>
        <v>-3356971192.46</v>
      </c>
      <c r="J11" s="31">
        <f>SUM(J12:J14)</f>
        <v>-3434676414.8699999</v>
      </c>
    </row>
    <row r="12" spans="1:10" s="65" customFormat="1" ht="15" customHeight="1" x14ac:dyDescent="0.2">
      <c r="A12" s="132" t="s">
        <v>124</v>
      </c>
      <c r="B12" s="131" t="s">
        <v>132</v>
      </c>
      <c r="C12" s="133"/>
      <c r="D12" s="111" t="s">
        <v>77</v>
      </c>
      <c r="E12" s="21">
        <v>600</v>
      </c>
      <c r="F12" s="31">
        <v>-994089236.38</v>
      </c>
      <c r="G12" s="31">
        <v>-1270595889.8099999</v>
      </c>
      <c r="H12" s="31">
        <v>-3011285956.6599998</v>
      </c>
      <c r="I12" s="119">
        <v>-3192575132.8699999</v>
      </c>
      <c r="J12" s="119">
        <v>-3261206962.46</v>
      </c>
    </row>
    <row r="13" spans="1:10" s="65" customFormat="1" ht="15" customHeight="1" x14ac:dyDescent="0.2">
      <c r="A13" s="132" t="s">
        <v>127</v>
      </c>
      <c r="B13" s="131" t="s">
        <v>133</v>
      </c>
      <c r="C13" s="133"/>
      <c r="D13" s="111"/>
      <c r="E13" s="136"/>
      <c r="F13" s="118"/>
      <c r="G13" s="118"/>
      <c r="H13" s="118"/>
      <c r="I13" s="118"/>
      <c r="J13" s="118"/>
    </row>
    <row r="14" spans="1:10" s="65" customFormat="1" ht="15" customHeight="1" x14ac:dyDescent="0.2">
      <c r="A14" s="114"/>
      <c r="B14" s="131" t="s">
        <v>134</v>
      </c>
      <c r="C14" s="133"/>
      <c r="D14" s="111" t="s">
        <v>77</v>
      </c>
      <c r="E14" s="136">
        <v>601</v>
      </c>
      <c r="F14" s="31">
        <v>-126380687.06999999</v>
      </c>
      <c r="G14" s="31">
        <v>-145140860.30000001</v>
      </c>
      <c r="H14" s="31">
        <v>-162554923.86000001</v>
      </c>
      <c r="I14" s="203">
        <v>-164396059.59</v>
      </c>
      <c r="J14" s="203">
        <v>-173469452.41</v>
      </c>
    </row>
    <row r="15" spans="1:10" s="65" customFormat="1" ht="12" customHeight="1" x14ac:dyDescent="0.2">
      <c r="A15" s="114" t="s">
        <v>135</v>
      </c>
      <c r="B15" s="29" t="s">
        <v>136</v>
      </c>
      <c r="C15" s="135"/>
      <c r="D15" s="135" t="s">
        <v>129</v>
      </c>
      <c r="E15" s="134" t="s">
        <v>137</v>
      </c>
      <c r="F15" s="31">
        <v>24288521.309999999</v>
      </c>
      <c r="G15" s="31">
        <v>17271561.41</v>
      </c>
      <c r="H15" s="31">
        <v>17220314.93</v>
      </c>
      <c r="I15" s="104">
        <v>15890398.029999999</v>
      </c>
      <c r="J15" s="104">
        <v>21221306.850000001</v>
      </c>
    </row>
    <row r="16" spans="1:10" s="65" customFormat="1" ht="12" customHeight="1" x14ac:dyDescent="0.2">
      <c r="A16" s="114" t="s">
        <v>138</v>
      </c>
      <c r="B16" s="29" t="s">
        <v>139</v>
      </c>
      <c r="C16" s="29"/>
      <c r="D16" s="111" t="s">
        <v>126</v>
      </c>
      <c r="E16" s="21" t="s">
        <v>140</v>
      </c>
      <c r="F16" s="31">
        <v>13733905.82</v>
      </c>
      <c r="G16" s="31">
        <v>14735222.689999999</v>
      </c>
      <c r="H16" s="31">
        <v>6852657.2800000003</v>
      </c>
      <c r="I16" s="104">
        <v>7805761.4699999997</v>
      </c>
      <c r="J16" s="104">
        <v>7230916.4000000004</v>
      </c>
    </row>
    <row r="17" spans="1:10" s="65" customFormat="1" ht="12" customHeight="1" x14ac:dyDescent="0.2">
      <c r="A17" s="114" t="s">
        <v>141</v>
      </c>
      <c r="B17" s="29" t="s">
        <v>142</v>
      </c>
      <c r="C17" s="29"/>
      <c r="D17" s="111" t="s">
        <v>77</v>
      </c>
      <c r="E17" s="21" t="s">
        <v>143</v>
      </c>
      <c r="F17" s="31">
        <v>-23397352.48</v>
      </c>
      <c r="G17" s="31">
        <v>-19852839.579999998</v>
      </c>
      <c r="H17" s="31">
        <v>-15778800.710000001</v>
      </c>
      <c r="I17" s="119">
        <v>-14278919.92</v>
      </c>
      <c r="J17" s="119">
        <v>-15714720.140000001</v>
      </c>
    </row>
    <row r="18" spans="1:10" s="65" customFormat="1" ht="3.95" customHeight="1" x14ac:dyDescent="0.2">
      <c r="A18" s="115"/>
      <c r="B18" s="29"/>
      <c r="C18" s="29"/>
      <c r="D18" s="111"/>
      <c r="E18" s="136"/>
      <c r="F18" s="116"/>
      <c r="G18" s="116"/>
      <c r="H18" s="116"/>
      <c r="I18" s="116"/>
      <c r="J18" s="116"/>
    </row>
    <row r="19" spans="1:10" s="65" customFormat="1" ht="12.6" customHeight="1" x14ac:dyDescent="0.2">
      <c r="A19" s="137"/>
      <c r="B19" s="138" t="s">
        <v>144</v>
      </c>
      <c r="C19" s="139"/>
      <c r="D19" s="140" t="s">
        <v>145</v>
      </c>
      <c r="E19" s="141" t="s">
        <v>146</v>
      </c>
      <c r="F19" s="109">
        <f t="shared" ref="F19" si="2">F7+F10+F11+F15+F16+F17</f>
        <v>58760906.730000153</v>
      </c>
      <c r="G19" s="109">
        <f>G7+G10+G11+G15+G16+G17</f>
        <v>53563246.340000167</v>
      </c>
      <c r="H19" s="109">
        <f>H7+H10+H11+H15+H16+H17</f>
        <v>106296029.77999973</v>
      </c>
      <c r="I19" s="112">
        <f>I7+I10+I11+I15+I16+I17</f>
        <v>224030440.1999999</v>
      </c>
      <c r="J19" s="112">
        <f>J7+J10+J11+J15+J16+J17</f>
        <v>161742864.75000036</v>
      </c>
    </row>
    <row r="20" spans="1:10" s="65" customFormat="1" ht="4.1500000000000004" customHeight="1" thickBot="1" x14ac:dyDescent="0.25">
      <c r="A20" s="142"/>
      <c r="B20" s="143"/>
      <c r="C20" s="143"/>
      <c r="D20" s="143"/>
      <c r="E20" s="144"/>
      <c r="F20" s="145"/>
      <c r="G20" s="145"/>
      <c r="H20" s="145"/>
      <c r="I20" s="145"/>
      <c r="J20" s="145"/>
    </row>
    <row r="21" spans="1:10" s="65" customFormat="1" ht="15.95" customHeight="1" thickTop="1" x14ac:dyDescent="0.2">
      <c r="A21" s="56"/>
      <c r="B21" s="56"/>
      <c r="C21" s="56"/>
      <c r="D21" s="56"/>
      <c r="E21" s="63"/>
      <c r="F21" s="56"/>
      <c r="G21" s="56"/>
      <c r="H21" s="56"/>
      <c r="I21" s="29"/>
      <c r="J21" s="29"/>
    </row>
    <row r="22" spans="1:10" ht="12" customHeight="1" x14ac:dyDescent="0.2">
      <c r="A22" s="127" t="s">
        <v>147</v>
      </c>
      <c r="B22" s="146"/>
      <c r="C22" s="146"/>
      <c r="D22" s="146"/>
      <c r="E22" s="147"/>
      <c r="F22" s="146"/>
      <c r="G22" s="146"/>
      <c r="H22" s="146"/>
      <c r="I22" s="146"/>
      <c r="J22" s="148"/>
    </row>
    <row r="23" spans="1:10" ht="6" customHeight="1" x14ac:dyDescent="0.2">
      <c r="A23" s="115"/>
      <c r="B23" s="129"/>
      <c r="C23" s="129"/>
      <c r="D23" s="129"/>
      <c r="E23" s="149"/>
      <c r="F23" s="129"/>
      <c r="G23" s="129"/>
      <c r="H23" s="129"/>
      <c r="I23" s="204"/>
      <c r="J23" s="205"/>
    </row>
    <row r="24" spans="1:10" s="65" customFormat="1" ht="12" customHeight="1" x14ac:dyDescent="0.2">
      <c r="A24" s="114" t="s">
        <v>148</v>
      </c>
      <c r="B24" s="29" t="s">
        <v>149</v>
      </c>
      <c r="C24" s="29"/>
      <c r="D24" s="111"/>
      <c r="E24" s="21"/>
      <c r="F24" s="31">
        <f t="shared" ref="F24:I24" si="3">SUM(F25:F26)</f>
        <v>53241268.060000002</v>
      </c>
      <c r="G24" s="31">
        <f t="shared" si="3"/>
        <v>52991761.760000005</v>
      </c>
      <c r="H24" s="31">
        <f t="shared" si="3"/>
        <v>51134871.350000001</v>
      </c>
      <c r="I24" s="31">
        <f t="shared" si="3"/>
        <v>51283896.740000002</v>
      </c>
      <c r="J24" s="31">
        <f t="shared" ref="J24" si="4">SUM(J25:J26)</f>
        <v>60093177.210000001</v>
      </c>
    </row>
    <row r="25" spans="1:10" s="65" customFormat="1" ht="12" customHeight="1" x14ac:dyDescent="0.2">
      <c r="A25" s="132" t="s">
        <v>124</v>
      </c>
      <c r="B25" s="131" t="s">
        <v>125</v>
      </c>
      <c r="C25" s="133"/>
      <c r="D25" s="111" t="s">
        <v>126</v>
      </c>
      <c r="E25" s="21"/>
      <c r="F25" s="31">
        <v>55421642</v>
      </c>
      <c r="G25" s="31">
        <v>54872993.560000002</v>
      </c>
      <c r="H25" s="31">
        <v>51939030.25</v>
      </c>
      <c r="I25" s="104">
        <v>52623328.75</v>
      </c>
      <c r="J25" s="104">
        <v>61744686.770000003</v>
      </c>
    </row>
    <row r="26" spans="1:10" s="65" customFormat="1" ht="12" customHeight="1" x14ac:dyDescent="0.2">
      <c r="A26" s="132" t="s">
        <v>127</v>
      </c>
      <c r="B26" s="131" t="s">
        <v>128</v>
      </c>
      <c r="C26" s="133"/>
      <c r="D26" s="135" t="s">
        <v>129</v>
      </c>
      <c r="E26" s="21"/>
      <c r="F26" s="31">
        <v>-2180373.94</v>
      </c>
      <c r="G26" s="31">
        <v>-1881231.8</v>
      </c>
      <c r="H26" s="31">
        <v>-804158.9</v>
      </c>
      <c r="I26" s="119">
        <v>-1339432.01</v>
      </c>
      <c r="J26" s="119">
        <v>-1651509.56</v>
      </c>
    </row>
    <row r="27" spans="1:10" s="65" customFormat="1" ht="12.6" customHeight="1" x14ac:dyDescent="0.2">
      <c r="A27" s="114" t="s">
        <v>150</v>
      </c>
      <c r="B27" s="29" t="s">
        <v>151</v>
      </c>
      <c r="C27" s="29"/>
      <c r="D27" s="111" t="s">
        <v>77</v>
      </c>
      <c r="E27" s="136">
        <v>61</v>
      </c>
      <c r="F27" s="31">
        <f>-36051691.56-68720087.36</f>
        <v>-104771778.92</v>
      </c>
      <c r="G27" s="31">
        <v>-112179558.2</v>
      </c>
      <c r="H27" s="31">
        <v>-141425971.75999999</v>
      </c>
      <c r="I27" s="119">
        <v>-113607037.77</v>
      </c>
      <c r="J27" s="119">
        <v>-118064165.48</v>
      </c>
    </row>
    <row r="28" spans="1:10" s="65" customFormat="1" ht="12.6" customHeight="1" x14ac:dyDescent="0.2">
      <c r="A28" s="114" t="s">
        <v>152</v>
      </c>
      <c r="B28" s="29" t="s">
        <v>153</v>
      </c>
      <c r="C28" s="29"/>
      <c r="D28" s="133" t="s">
        <v>154</v>
      </c>
      <c r="E28" s="136">
        <v>62</v>
      </c>
      <c r="F28" s="31">
        <f>-18751199.22-18789714.93</f>
        <v>-37540914.149999999</v>
      </c>
      <c r="G28" s="31">
        <v>-45353409.649999999</v>
      </c>
      <c r="H28" s="31">
        <v>-86628229.469999999</v>
      </c>
      <c r="I28" s="119">
        <v>-56308205.509999998</v>
      </c>
      <c r="J28" s="119">
        <v>-59509077.390000001</v>
      </c>
    </row>
    <row r="29" spans="1:10" s="65" customFormat="1" ht="15" customHeight="1" x14ac:dyDescent="0.2">
      <c r="A29" s="114" t="s">
        <v>155</v>
      </c>
      <c r="B29" s="29" t="s">
        <v>156</v>
      </c>
      <c r="C29" s="29"/>
      <c r="D29" s="111" t="s">
        <v>77</v>
      </c>
      <c r="E29" s="21" t="s">
        <v>157</v>
      </c>
      <c r="F29" s="31">
        <f>-3103267.2-23123667.6</f>
        <v>-26226934.800000001</v>
      </c>
      <c r="G29" s="31">
        <v>-25899272.850000001</v>
      </c>
      <c r="H29" s="31">
        <v>-26307385.539999999</v>
      </c>
      <c r="I29" s="119">
        <v>-27142391.859999999</v>
      </c>
      <c r="J29" s="119">
        <v>-26478552.670000002</v>
      </c>
    </row>
    <row r="30" spans="1:10" s="65" customFormat="1" ht="12.6" customHeight="1" x14ac:dyDescent="0.2">
      <c r="A30" s="114" t="s">
        <v>158</v>
      </c>
      <c r="B30" s="29" t="s">
        <v>159</v>
      </c>
      <c r="C30" s="29"/>
      <c r="D30" s="29"/>
      <c r="E30" s="21"/>
      <c r="F30" s="31"/>
      <c r="G30" s="31"/>
      <c r="H30" s="31"/>
      <c r="I30" s="31"/>
      <c r="J30" s="31"/>
    </row>
    <row r="31" spans="1:10" s="65" customFormat="1" ht="12.6" customHeight="1" x14ac:dyDescent="0.2">
      <c r="A31" s="114"/>
      <c r="B31" s="29" t="s">
        <v>160</v>
      </c>
      <c r="C31" s="29"/>
      <c r="D31" s="133" t="s">
        <v>129</v>
      </c>
      <c r="E31" s="21" t="s">
        <v>161</v>
      </c>
      <c r="F31" s="31">
        <f>-695709.51-136185</f>
        <v>-831894.51</v>
      </c>
      <c r="G31" s="31">
        <v>234528.22</v>
      </c>
      <c r="H31" s="31">
        <v>-1407665.98</v>
      </c>
      <c r="I31" s="119">
        <v>-816578.55</v>
      </c>
      <c r="J31" s="119">
        <v>797531.19</v>
      </c>
    </row>
    <row r="32" spans="1:10" s="65" customFormat="1" ht="12.6" customHeight="1" x14ac:dyDescent="0.2">
      <c r="A32" s="114" t="s">
        <v>162</v>
      </c>
      <c r="B32" s="29" t="s">
        <v>82</v>
      </c>
      <c r="C32" s="29"/>
      <c r="D32" s="133" t="s">
        <v>129</v>
      </c>
      <c r="E32" s="21" t="s">
        <v>163</v>
      </c>
      <c r="F32" s="31">
        <f>6261511.97</f>
        <v>6261511.9699999997</v>
      </c>
      <c r="G32" s="31">
        <v>-239057.29</v>
      </c>
      <c r="H32" s="31">
        <v>1097768.5900000001</v>
      </c>
      <c r="I32" s="119">
        <v>-13765033.68</v>
      </c>
      <c r="J32" s="119">
        <v>-4805879.5599999996</v>
      </c>
    </row>
    <row r="33" spans="1:10" s="65" customFormat="1" ht="12.6" customHeight="1" x14ac:dyDescent="0.2">
      <c r="A33" s="114" t="s">
        <v>164</v>
      </c>
      <c r="B33" s="28" t="s">
        <v>165</v>
      </c>
      <c r="C33" s="29"/>
      <c r="D33" s="29"/>
      <c r="E33" s="21"/>
      <c r="F33" s="31">
        <f t="shared" ref="F33" si="5">SUM(F34:F35)</f>
        <v>101859201.28999999</v>
      </c>
      <c r="G33" s="31">
        <f>SUM(G34:G35)</f>
        <v>102272700.11</v>
      </c>
      <c r="H33" s="31">
        <f>SUM(H34:H35)</f>
        <v>131076757.13</v>
      </c>
      <c r="I33" s="31">
        <f>SUM(I34:I35)</f>
        <v>89038119.670000002</v>
      </c>
      <c r="J33" s="31">
        <f>SUM(J34:J35)</f>
        <v>94065633.650000006</v>
      </c>
    </row>
    <row r="34" spans="1:10" s="65" customFormat="1" ht="12.6" customHeight="1" x14ac:dyDescent="0.2">
      <c r="A34" s="132" t="s">
        <v>124</v>
      </c>
      <c r="B34" s="29" t="s">
        <v>166</v>
      </c>
      <c r="C34" s="29"/>
      <c r="D34" s="111" t="s">
        <v>126</v>
      </c>
      <c r="E34" s="21" t="s">
        <v>167</v>
      </c>
      <c r="F34" s="31">
        <f>4294267.89+20114068.93</f>
        <v>24408336.82</v>
      </c>
      <c r="G34" s="31">
        <v>27248564.239999998</v>
      </c>
      <c r="H34" s="31">
        <v>39190532.409999996</v>
      </c>
      <c r="I34" s="104">
        <v>9744778.9499999993</v>
      </c>
      <c r="J34" s="104">
        <v>7630746.6100000003</v>
      </c>
    </row>
    <row r="35" spans="1:10" s="65" customFormat="1" ht="12.6" customHeight="1" x14ac:dyDescent="0.2">
      <c r="A35" s="132" t="s">
        <v>127</v>
      </c>
      <c r="B35" s="29" t="s">
        <v>165</v>
      </c>
      <c r="C35" s="29"/>
      <c r="D35" s="111" t="s">
        <v>126</v>
      </c>
      <c r="E35" s="136">
        <v>74</v>
      </c>
      <c r="F35" s="31">
        <f>18202845.72+59248018.75</f>
        <v>77450864.469999999</v>
      </c>
      <c r="G35" s="31">
        <v>75024135.870000005</v>
      </c>
      <c r="H35" s="31">
        <v>91886224.719999999</v>
      </c>
      <c r="I35" s="104">
        <v>79293340.719999999</v>
      </c>
      <c r="J35" s="104">
        <v>86434887.040000007</v>
      </c>
    </row>
    <row r="36" spans="1:10" s="65" customFormat="1" ht="12.6" customHeight="1" x14ac:dyDescent="0.2">
      <c r="A36" s="114" t="s">
        <v>168</v>
      </c>
      <c r="B36" s="29" t="s">
        <v>169</v>
      </c>
      <c r="C36" s="29"/>
      <c r="D36" s="111" t="s">
        <v>77</v>
      </c>
      <c r="E36" s="21" t="s">
        <v>170</v>
      </c>
      <c r="F36" s="31">
        <f>-14573374.81-17157064.3</f>
        <v>-31730439.109999999</v>
      </c>
      <c r="G36" s="31">
        <v>-29419844.649999999</v>
      </c>
      <c r="H36" s="31">
        <v>-19035231.969999999</v>
      </c>
      <c r="I36" s="119">
        <v>-14262373.609999999</v>
      </c>
      <c r="J36" s="119">
        <v>-17463619.18</v>
      </c>
    </row>
    <row r="37" spans="1:10" s="65" customFormat="1" ht="12.6" customHeight="1" x14ac:dyDescent="0.2">
      <c r="A37" s="114" t="s">
        <v>202</v>
      </c>
      <c r="B37" s="29" t="s">
        <v>232</v>
      </c>
      <c r="C37" s="29"/>
      <c r="D37" s="111"/>
      <c r="E37" s="21"/>
      <c r="F37" s="121"/>
      <c r="G37" s="31">
        <f>SUM(G39:G46)</f>
        <v>31807598.690000001</v>
      </c>
      <c r="H37" s="31">
        <f>SUM(H39:H46)</f>
        <v>68984168.11999999</v>
      </c>
      <c r="I37" s="31">
        <f>SUM(I39:I46)</f>
        <v>7157516.54</v>
      </c>
      <c r="J37" s="31">
        <f>SUM(J39:J46)</f>
        <v>26169507.310000002</v>
      </c>
    </row>
    <row r="38" spans="1:10" s="65" customFormat="1" ht="12.6" customHeight="1" x14ac:dyDescent="0.2">
      <c r="A38" s="132" t="s">
        <v>124</v>
      </c>
      <c r="B38" s="29" t="s">
        <v>247</v>
      </c>
      <c r="C38" s="29"/>
      <c r="D38" s="111"/>
      <c r="E38" s="21">
        <v>760</v>
      </c>
      <c r="F38" s="121"/>
      <c r="G38" s="31"/>
      <c r="H38" s="31"/>
      <c r="I38" s="31"/>
      <c r="J38" s="31"/>
    </row>
    <row r="39" spans="1:10" s="65" customFormat="1" ht="12.6" customHeight="1" x14ac:dyDescent="0.2">
      <c r="A39" s="132"/>
      <c r="B39" s="29" t="s">
        <v>246</v>
      </c>
      <c r="C39" s="29"/>
      <c r="D39" s="111" t="s">
        <v>126</v>
      </c>
      <c r="E39" s="21"/>
      <c r="F39" s="121"/>
      <c r="G39" s="31">
        <v>14630.45</v>
      </c>
      <c r="H39" s="31">
        <v>25976.7</v>
      </c>
      <c r="I39" s="104">
        <v>27736.58</v>
      </c>
      <c r="J39" s="104">
        <v>0</v>
      </c>
    </row>
    <row r="40" spans="1:10" s="65" customFormat="1" ht="12.6" customHeight="1" x14ac:dyDescent="0.2">
      <c r="A40" s="132" t="s">
        <v>127</v>
      </c>
      <c r="B40" s="29" t="s">
        <v>208</v>
      </c>
      <c r="C40" s="29"/>
      <c r="D40" s="111" t="s">
        <v>126</v>
      </c>
      <c r="E40" s="21">
        <v>761</v>
      </c>
      <c r="F40" s="121"/>
      <c r="G40" s="31">
        <v>0</v>
      </c>
      <c r="H40" s="31">
        <v>26000</v>
      </c>
      <c r="I40" s="31">
        <v>0</v>
      </c>
      <c r="J40" s="31">
        <v>64.84</v>
      </c>
    </row>
    <row r="41" spans="1:10" s="65" customFormat="1" ht="12.6" customHeight="1" x14ac:dyDescent="0.2">
      <c r="A41" s="132" t="s">
        <v>203</v>
      </c>
      <c r="B41" s="29" t="s">
        <v>249</v>
      </c>
      <c r="C41" s="29"/>
      <c r="D41" s="111"/>
      <c r="E41" s="29"/>
      <c r="F41" s="121"/>
      <c r="G41" s="31"/>
      <c r="H41" s="31"/>
      <c r="I41" s="118"/>
      <c r="J41" s="118"/>
    </row>
    <row r="42" spans="1:10" s="65" customFormat="1" ht="12.6" customHeight="1" x14ac:dyDescent="0.2">
      <c r="A42" s="132"/>
      <c r="B42" s="29" t="s">
        <v>248</v>
      </c>
      <c r="C42" s="29"/>
      <c r="D42" s="111" t="s">
        <v>126</v>
      </c>
      <c r="E42" s="21">
        <v>762</v>
      </c>
      <c r="F42" s="121"/>
      <c r="G42" s="31">
        <v>0</v>
      </c>
      <c r="H42" s="31">
        <v>23407.45</v>
      </c>
      <c r="I42" s="31">
        <v>0</v>
      </c>
      <c r="J42" s="31">
        <v>0</v>
      </c>
    </row>
    <row r="43" spans="1:10" s="65" customFormat="1" ht="12.6" customHeight="1" x14ac:dyDescent="0.2">
      <c r="A43" s="132" t="s">
        <v>204</v>
      </c>
      <c r="B43" s="29" t="s">
        <v>209</v>
      </c>
      <c r="C43" s="29"/>
      <c r="D43" s="111" t="s">
        <v>126</v>
      </c>
      <c r="E43" s="21">
        <v>763</v>
      </c>
      <c r="F43" s="121"/>
      <c r="G43" s="31">
        <v>395113.28</v>
      </c>
      <c r="H43" s="31">
        <v>137456.66</v>
      </c>
      <c r="I43" s="104">
        <v>123293.56</v>
      </c>
      <c r="J43" s="104">
        <v>477653.25</v>
      </c>
    </row>
    <row r="44" spans="1:10" s="65" customFormat="1" ht="12.6" customHeight="1" x14ac:dyDescent="0.2">
      <c r="A44" s="132" t="s">
        <v>205</v>
      </c>
      <c r="B44" s="29" t="s">
        <v>210</v>
      </c>
      <c r="C44" s="29"/>
      <c r="D44" s="111" t="s">
        <v>126</v>
      </c>
      <c r="E44" s="21">
        <v>764</v>
      </c>
      <c r="F44" s="121"/>
      <c r="G44" s="31">
        <v>458197.67</v>
      </c>
      <c r="H44" s="31">
        <v>352118.1</v>
      </c>
      <c r="I44" s="104">
        <v>579590.81999999995</v>
      </c>
      <c r="J44" s="104">
        <v>610692.55000000005</v>
      </c>
    </row>
    <row r="45" spans="1:10" s="65" customFormat="1" ht="12.6" customHeight="1" x14ac:dyDescent="0.2">
      <c r="A45" s="132" t="s">
        <v>206</v>
      </c>
      <c r="B45" s="29" t="s">
        <v>211</v>
      </c>
      <c r="C45" s="29"/>
      <c r="D45" s="111" t="s">
        <v>126</v>
      </c>
      <c r="E45" s="21">
        <v>765</v>
      </c>
      <c r="F45" s="121"/>
      <c r="G45" s="31">
        <v>125157.03</v>
      </c>
      <c r="H45" s="31">
        <v>0</v>
      </c>
      <c r="I45" s="105">
        <v>0</v>
      </c>
      <c r="J45" s="104">
        <v>9544913.8200000003</v>
      </c>
    </row>
    <row r="46" spans="1:10" s="65" customFormat="1" ht="12.6" customHeight="1" x14ac:dyDescent="0.2">
      <c r="A46" s="132" t="s">
        <v>207</v>
      </c>
      <c r="B46" s="29" t="s">
        <v>212</v>
      </c>
      <c r="C46" s="29"/>
      <c r="D46" s="111" t="s">
        <v>126</v>
      </c>
      <c r="E46" s="21">
        <v>766</v>
      </c>
      <c r="F46" s="121"/>
      <c r="G46" s="31">
        <v>30814500.260000002</v>
      </c>
      <c r="H46" s="31">
        <v>68419209.209999993</v>
      </c>
      <c r="I46" s="104">
        <v>6426895.5800000001</v>
      </c>
      <c r="J46" s="104">
        <v>15536182.85</v>
      </c>
    </row>
    <row r="47" spans="1:10" s="65" customFormat="1" ht="12.6" customHeight="1" x14ac:dyDescent="0.2">
      <c r="A47" s="130" t="s">
        <v>213</v>
      </c>
      <c r="B47" s="29" t="s">
        <v>233</v>
      </c>
      <c r="C47" s="29"/>
      <c r="D47" s="111"/>
      <c r="E47" s="21"/>
      <c r="F47" s="121"/>
      <c r="G47" s="31">
        <f>SUM(G48:G53)</f>
        <v>-64854548.339999996</v>
      </c>
      <c r="H47" s="31">
        <f>SUM(H48:H53)</f>
        <v>-81873123.049999997</v>
      </c>
      <c r="I47" s="31">
        <f>SUM(I48:I53)</f>
        <v>-27133884.059999999</v>
      </c>
      <c r="J47" s="31">
        <f>SUM(J48:J53)</f>
        <v>-47088036.25</v>
      </c>
    </row>
    <row r="48" spans="1:10" s="65" customFormat="1" ht="12.6" customHeight="1" x14ac:dyDescent="0.2">
      <c r="A48" s="132" t="s">
        <v>124</v>
      </c>
      <c r="B48" s="29" t="s">
        <v>218</v>
      </c>
      <c r="C48" s="29"/>
      <c r="D48" s="111"/>
      <c r="E48" s="21">
        <v>660</v>
      </c>
      <c r="F48" s="121"/>
      <c r="G48" s="31"/>
      <c r="H48" s="31"/>
      <c r="I48" s="31"/>
      <c r="J48" s="31"/>
    </row>
    <row r="49" spans="1:10" s="65" customFormat="1" ht="12.6" customHeight="1" x14ac:dyDescent="0.2">
      <c r="A49" s="132"/>
      <c r="B49" s="29" t="s">
        <v>219</v>
      </c>
      <c r="C49" s="29"/>
      <c r="D49" s="111" t="s">
        <v>77</v>
      </c>
      <c r="E49" s="21"/>
      <c r="F49" s="121"/>
      <c r="G49" s="31">
        <v>-870369.49</v>
      </c>
      <c r="H49" s="31">
        <v>-769111.18</v>
      </c>
      <c r="I49" s="119">
        <v>-14891.04</v>
      </c>
      <c r="J49" s="119">
        <v>-645437.87</v>
      </c>
    </row>
    <row r="50" spans="1:10" s="65" customFormat="1" ht="12.6" customHeight="1" x14ac:dyDescent="0.2">
      <c r="A50" s="132" t="s">
        <v>127</v>
      </c>
      <c r="B50" s="29" t="s">
        <v>214</v>
      </c>
      <c r="C50" s="29"/>
      <c r="D50" s="111" t="s">
        <v>77</v>
      </c>
      <c r="E50" s="21">
        <v>661</v>
      </c>
      <c r="F50" s="121"/>
      <c r="G50" s="31">
        <v>-2626.36</v>
      </c>
      <c r="H50" s="31">
        <v>0</v>
      </c>
      <c r="I50" s="105">
        <v>0</v>
      </c>
      <c r="J50" s="105">
        <v>0</v>
      </c>
    </row>
    <row r="51" spans="1:10" s="65" customFormat="1" ht="12.6" customHeight="1" x14ac:dyDescent="0.2">
      <c r="A51" s="132" t="s">
        <v>203</v>
      </c>
      <c r="B51" s="29" t="s">
        <v>215</v>
      </c>
      <c r="C51" s="29"/>
      <c r="D51" s="111" t="s">
        <v>77</v>
      </c>
      <c r="E51" s="21">
        <v>662</v>
      </c>
      <c r="F51" s="121"/>
      <c r="G51" s="31">
        <v>0</v>
      </c>
      <c r="H51" s="31">
        <v>0</v>
      </c>
      <c r="I51" s="105">
        <v>0</v>
      </c>
      <c r="J51" s="105">
        <v>0</v>
      </c>
    </row>
    <row r="52" spans="1:10" s="65" customFormat="1" ht="12.6" customHeight="1" x14ac:dyDescent="0.2">
      <c r="A52" s="132" t="s">
        <v>204</v>
      </c>
      <c r="B52" s="29" t="s">
        <v>216</v>
      </c>
      <c r="C52" s="29"/>
      <c r="D52" s="111" t="s">
        <v>77</v>
      </c>
      <c r="E52" s="21">
        <v>663</v>
      </c>
      <c r="F52" s="121"/>
      <c r="G52" s="31">
        <v>-21475.77</v>
      </c>
      <c r="H52" s="31">
        <v>-62895.14</v>
      </c>
      <c r="I52" s="119">
        <v>-16892.87</v>
      </c>
      <c r="J52" s="119">
        <v>-20724.419999999998</v>
      </c>
    </row>
    <row r="53" spans="1:10" s="65" customFormat="1" ht="12.6" customHeight="1" x14ac:dyDescent="0.2">
      <c r="A53" s="132" t="s">
        <v>205</v>
      </c>
      <c r="B53" s="29" t="s">
        <v>217</v>
      </c>
      <c r="C53" s="29"/>
      <c r="D53" s="111" t="s">
        <v>77</v>
      </c>
      <c r="E53" s="21">
        <v>666</v>
      </c>
      <c r="F53" s="121"/>
      <c r="G53" s="31">
        <v>-63960076.719999999</v>
      </c>
      <c r="H53" s="31">
        <v>-81041116.730000004</v>
      </c>
      <c r="I53" s="113">
        <v>-27102100.149999999</v>
      </c>
      <c r="J53" s="113">
        <v>-46421873.960000001</v>
      </c>
    </row>
    <row r="54" spans="1:10" s="65" customFormat="1" ht="12.6" customHeight="1" x14ac:dyDescent="0.2">
      <c r="A54" s="114" t="s">
        <v>174</v>
      </c>
      <c r="B54" s="29" t="s">
        <v>239</v>
      </c>
      <c r="C54" s="29"/>
      <c r="D54" s="29"/>
      <c r="E54" s="21"/>
      <c r="F54" s="31">
        <f t="shared" ref="F54:I54" si="6">SUM(F55:F56)</f>
        <v>-8797136.2400000002</v>
      </c>
      <c r="G54" s="31">
        <f t="shared" si="6"/>
        <v>-11406724.77</v>
      </c>
      <c r="H54" s="31">
        <f t="shared" si="6"/>
        <v>-6917315.7399999984</v>
      </c>
      <c r="I54" s="31">
        <f t="shared" si="6"/>
        <v>-6029059.0300000012</v>
      </c>
      <c r="J54" s="31">
        <f t="shared" ref="J54" si="7">SUM(J55:J56)</f>
        <v>-8193144.9699999988</v>
      </c>
    </row>
    <row r="55" spans="1:10" s="65" customFormat="1" ht="12.6" customHeight="1" x14ac:dyDescent="0.2">
      <c r="A55" s="132" t="s">
        <v>124</v>
      </c>
      <c r="B55" s="29" t="s">
        <v>171</v>
      </c>
      <c r="C55" s="29"/>
      <c r="D55" s="111" t="s">
        <v>126</v>
      </c>
      <c r="E55" s="21"/>
      <c r="F55" s="31">
        <f>16210849.78</f>
        <v>16210849.779999999</v>
      </c>
      <c r="G55" s="31">
        <v>17561540.050000001</v>
      </c>
      <c r="H55" s="31">
        <v>17918394.710000001</v>
      </c>
      <c r="I55" s="101">
        <v>19674021.469999999</v>
      </c>
      <c r="J55" s="101">
        <v>20406508.84</v>
      </c>
    </row>
    <row r="56" spans="1:10" s="65" customFormat="1" ht="12.6" customHeight="1" x14ac:dyDescent="0.2">
      <c r="A56" s="132" t="s">
        <v>127</v>
      </c>
      <c r="B56" s="29" t="s">
        <v>172</v>
      </c>
      <c r="C56" s="29"/>
      <c r="D56" s="111" t="s">
        <v>77</v>
      </c>
      <c r="E56" s="21"/>
      <c r="F56" s="31">
        <f>-25007986.02</f>
        <v>-25007986.02</v>
      </c>
      <c r="G56" s="31">
        <v>-28968264.82</v>
      </c>
      <c r="H56" s="31">
        <v>-24835710.449999999</v>
      </c>
      <c r="I56" s="113">
        <v>-25703080.5</v>
      </c>
      <c r="J56" s="113">
        <v>-28599653.809999999</v>
      </c>
    </row>
    <row r="57" spans="1:10" s="65" customFormat="1" ht="3.95" customHeight="1" x14ac:dyDescent="0.2">
      <c r="A57" s="114"/>
      <c r="B57" s="29"/>
      <c r="C57" s="29"/>
      <c r="D57" s="151"/>
      <c r="E57" s="21"/>
      <c r="F57" s="116"/>
      <c r="G57" s="116"/>
      <c r="H57" s="116"/>
      <c r="I57" s="116"/>
      <c r="J57" s="116"/>
    </row>
    <row r="58" spans="1:10" s="65" customFormat="1" ht="12" customHeight="1" x14ac:dyDescent="0.2">
      <c r="A58" s="152"/>
      <c r="B58" s="138" t="s">
        <v>238</v>
      </c>
      <c r="C58" s="139"/>
      <c r="D58" s="139"/>
      <c r="E58" s="141" t="s">
        <v>184</v>
      </c>
      <c r="F58" s="109">
        <f>F24+F27+F28+F29+F31+F32+F33+F36+F54</f>
        <v>-48537116.410000004</v>
      </c>
      <c r="G58" s="109">
        <f>G24+G27+G28+G29+G31+G32+G33+G36+G54+G37+G47</f>
        <v>-102045826.97</v>
      </c>
      <c r="H58" s="109">
        <f>H24+H27+H28+H29+H31+H32+H33+H36+H54+H37+H47</f>
        <v>-111301358.31999998</v>
      </c>
      <c r="I58" s="112">
        <f>I24+I27+I28+I29+I31+I32+I33+I36+I54+I37+I47</f>
        <v>-111585031.11999999</v>
      </c>
      <c r="J58" s="112">
        <f>J24+J27+J28+J29+J31+J32+J33+J36+J54+J37+J47</f>
        <v>-100476626.13999999</v>
      </c>
    </row>
    <row r="59" spans="1:10" s="65" customFormat="1" ht="3.95" customHeight="1" thickBot="1" x14ac:dyDescent="0.25">
      <c r="A59" s="153"/>
      <c r="B59" s="154"/>
      <c r="C59" s="154"/>
      <c r="D59" s="154"/>
      <c r="E59" s="144"/>
      <c r="F59" s="155"/>
      <c r="G59" s="155"/>
      <c r="H59" s="155"/>
      <c r="I59" s="155"/>
      <c r="J59" s="155"/>
    </row>
    <row r="60" spans="1:10" s="65" customFormat="1" ht="15.95" customHeight="1" thickTop="1" x14ac:dyDescent="0.2">
      <c r="A60" s="156"/>
      <c r="B60" s="157"/>
      <c r="C60" s="157"/>
      <c r="D60" s="157"/>
      <c r="E60" s="158"/>
      <c r="F60" s="159"/>
      <c r="G60" s="159"/>
      <c r="H60" s="159"/>
      <c r="I60" s="29"/>
      <c r="J60" s="29"/>
    </row>
    <row r="61" spans="1:10" s="64" customFormat="1" ht="15.6" customHeight="1" x14ac:dyDescent="0.2">
      <c r="A61" s="127" t="s">
        <v>173</v>
      </c>
      <c r="B61" s="160"/>
      <c r="C61" s="160"/>
      <c r="D61" s="160"/>
      <c r="E61" s="161"/>
      <c r="F61" s="162"/>
      <c r="G61" s="162"/>
      <c r="H61" s="162"/>
      <c r="I61" s="162"/>
      <c r="J61" s="163"/>
    </row>
    <row r="62" spans="1:10" s="65" customFormat="1" ht="6" customHeight="1" x14ac:dyDescent="0.2">
      <c r="A62" s="115"/>
      <c r="B62" s="129"/>
      <c r="C62" s="129"/>
      <c r="D62" s="129"/>
      <c r="E62" s="149"/>
      <c r="F62" s="164"/>
      <c r="G62" s="164"/>
      <c r="H62" s="164"/>
      <c r="I62" s="164"/>
      <c r="J62" s="107"/>
    </row>
    <row r="63" spans="1:10" s="65" customFormat="1" ht="15" customHeight="1" x14ac:dyDescent="0.2">
      <c r="A63" s="114" t="s">
        <v>177</v>
      </c>
      <c r="B63" s="29" t="s">
        <v>175</v>
      </c>
      <c r="C63" s="29"/>
      <c r="D63" s="111" t="s">
        <v>126</v>
      </c>
      <c r="E63" s="136">
        <v>75</v>
      </c>
      <c r="F63" s="31">
        <f>28515436.96+13550255.2</f>
        <v>42065692.159999996</v>
      </c>
      <c r="G63" s="31">
        <v>35694661.630000003</v>
      </c>
      <c r="H63" s="31">
        <v>38565689.979999997</v>
      </c>
      <c r="I63" s="126">
        <v>28881229.670000002</v>
      </c>
      <c r="J63" s="126">
        <v>29014178.77</v>
      </c>
    </row>
    <row r="64" spans="1:10" s="65" customFormat="1" ht="15" customHeight="1" x14ac:dyDescent="0.2">
      <c r="A64" s="114" t="s">
        <v>181</v>
      </c>
      <c r="B64" s="29" t="s">
        <v>176</v>
      </c>
      <c r="C64" s="29"/>
      <c r="D64" s="133" t="s">
        <v>154</v>
      </c>
      <c r="E64" s="136">
        <v>65</v>
      </c>
      <c r="F64" s="31">
        <f>-6147491.16-3099461.09</f>
        <v>-9246952.25</v>
      </c>
      <c r="G64" s="31">
        <v>-16183492.24</v>
      </c>
      <c r="H64" s="31">
        <v>-6490287.4500000002</v>
      </c>
      <c r="I64" s="113">
        <v>-7229847.04</v>
      </c>
      <c r="J64" s="113">
        <v>-12492395.58</v>
      </c>
    </row>
    <row r="65" spans="1:10" s="65" customFormat="1" ht="15" customHeight="1" x14ac:dyDescent="0.2">
      <c r="A65" s="114" t="s">
        <v>220</v>
      </c>
      <c r="B65" s="29" t="s">
        <v>234</v>
      </c>
      <c r="C65" s="29"/>
      <c r="D65" s="111" t="s">
        <v>126</v>
      </c>
      <c r="E65" s="136">
        <v>769</v>
      </c>
      <c r="F65" s="121"/>
      <c r="G65" s="31">
        <v>184364.25</v>
      </c>
      <c r="H65" s="31">
        <v>174922.02</v>
      </c>
      <c r="I65" s="101">
        <v>14370.95</v>
      </c>
      <c r="J65" s="101">
        <v>18698.47</v>
      </c>
    </row>
    <row r="66" spans="1:10" s="65" customFormat="1" ht="15" customHeight="1" x14ac:dyDescent="0.2">
      <c r="A66" s="114" t="s">
        <v>221</v>
      </c>
      <c r="B66" s="29" t="s">
        <v>235</v>
      </c>
      <c r="C66" s="29"/>
      <c r="D66" s="111" t="s">
        <v>77</v>
      </c>
      <c r="E66" s="136">
        <v>669</v>
      </c>
      <c r="F66" s="121"/>
      <c r="G66" s="31">
        <v>-7884.93</v>
      </c>
      <c r="H66" s="31">
        <v>-2969.33</v>
      </c>
      <c r="I66" s="113">
        <v>-6120.29</v>
      </c>
      <c r="J66" s="113">
        <v>-1222.79</v>
      </c>
    </row>
    <row r="67" spans="1:10" s="65" customFormat="1" ht="3.95" customHeight="1" x14ac:dyDescent="0.2">
      <c r="A67" s="115"/>
      <c r="B67" s="29"/>
      <c r="C67" s="29"/>
      <c r="D67" s="111"/>
      <c r="E67" s="136"/>
      <c r="F67" s="116"/>
      <c r="G67" s="116"/>
      <c r="H67" s="116"/>
      <c r="I67" s="116"/>
      <c r="J67" s="116"/>
    </row>
    <row r="68" spans="1:10" s="65" customFormat="1" x14ac:dyDescent="0.2">
      <c r="A68" s="165"/>
      <c r="B68" s="138" t="s">
        <v>240</v>
      </c>
      <c r="C68" s="139"/>
      <c r="D68" s="139"/>
      <c r="E68" s="141" t="s">
        <v>251</v>
      </c>
      <c r="F68" s="112">
        <f t="shared" ref="F68" si="8">SUM(F63:F64)</f>
        <v>32818739.909999996</v>
      </c>
      <c r="G68" s="112">
        <f>SUM(G63:G66)</f>
        <v>19687648.710000001</v>
      </c>
      <c r="H68" s="112">
        <f>SUM(H63:H66)</f>
        <v>32247355.219999999</v>
      </c>
      <c r="I68" s="112">
        <f>SUM(I63:I66)</f>
        <v>21659633.290000003</v>
      </c>
      <c r="J68" s="112">
        <f>SUM(J63:J66)</f>
        <v>16539258.870000001</v>
      </c>
    </row>
    <row r="69" spans="1:10" s="65" customFormat="1" ht="3.95" customHeight="1" thickBot="1" x14ac:dyDescent="0.25">
      <c r="A69" s="153"/>
      <c r="B69" s="154"/>
      <c r="C69" s="154"/>
      <c r="D69" s="154"/>
      <c r="E69" s="144"/>
      <c r="F69" s="155"/>
      <c r="G69" s="155"/>
      <c r="H69" s="155"/>
      <c r="I69" s="155"/>
      <c r="J69" s="155"/>
    </row>
    <row r="70" spans="1:10" s="65" customFormat="1" ht="15.95" customHeight="1" thickTop="1" x14ac:dyDescent="0.2">
      <c r="A70" s="110"/>
      <c r="B70" s="166"/>
      <c r="C70" s="166"/>
      <c r="D70" s="166"/>
      <c r="E70" s="167"/>
      <c r="F70" s="29"/>
      <c r="G70" s="29"/>
      <c r="H70" s="29"/>
      <c r="I70" s="29"/>
      <c r="J70" s="29"/>
    </row>
    <row r="71" spans="1:10" ht="12" customHeight="1" x14ac:dyDescent="0.2">
      <c r="A71" s="127" t="s">
        <v>231</v>
      </c>
      <c r="B71" s="146"/>
      <c r="C71" s="146"/>
      <c r="D71" s="146"/>
      <c r="E71" s="147"/>
      <c r="F71" s="146"/>
      <c r="G71" s="146"/>
      <c r="H71" s="146"/>
      <c r="I71" s="146"/>
      <c r="J71" s="148"/>
    </row>
    <row r="72" spans="1:10" ht="3.6" customHeight="1" x14ac:dyDescent="0.2">
      <c r="A72" s="115"/>
      <c r="B72" s="129"/>
      <c r="C72" s="129"/>
      <c r="D72" s="129"/>
      <c r="E72" s="149"/>
      <c r="F72" s="129"/>
      <c r="G72" s="129"/>
      <c r="H72" s="129"/>
      <c r="I72" s="129"/>
      <c r="J72" s="150"/>
    </row>
    <row r="73" spans="1:10" s="65" customFormat="1" x14ac:dyDescent="0.2">
      <c r="A73" s="114" t="s">
        <v>177</v>
      </c>
      <c r="B73" s="29" t="s">
        <v>178</v>
      </c>
      <c r="C73" s="29"/>
      <c r="D73" s="151"/>
      <c r="E73" s="21"/>
      <c r="F73" s="31">
        <f>SUM(F75:F75)</f>
        <v>32857045.289999999</v>
      </c>
      <c r="G73" s="121"/>
      <c r="H73" s="121"/>
      <c r="I73" s="121"/>
      <c r="J73" s="121"/>
    </row>
    <row r="74" spans="1:10" s="65" customFormat="1" x14ac:dyDescent="0.2">
      <c r="A74" s="114"/>
      <c r="B74" s="28" t="s">
        <v>197</v>
      </c>
      <c r="C74" s="29"/>
      <c r="D74" s="111" t="s">
        <v>126</v>
      </c>
      <c r="E74" s="21"/>
      <c r="F74" s="118"/>
      <c r="G74" s="123"/>
      <c r="H74" s="123"/>
      <c r="I74" s="123"/>
      <c r="J74" s="123"/>
    </row>
    <row r="75" spans="1:10" s="65" customFormat="1" x14ac:dyDescent="0.2">
      <c r="A75" s="114"/>
      <c r="B75" s="28" t="s">
        <v>179</v>
      </c>
      <c r="C75" s="29"/>
      <c r="D75" s="111" t="s">
        <v>126</v>
      </c>
      <c r="E75" s="21" t="s">
        <v>180</v>
      </c>
      <c r="F75" s="72">
        <f>26591099.96+6265945.33</f>
        <v>32857045.289999999</v>
      </c>
      <c r="G75" s="83"/>
      <c r="H75" s="83"/>
      <c r="I75" s="83"/>
      <c r="J75" s="83"/>
    </row>
    <row r="76" spans="1:10" s="65" customFormat="1" x14ac:dyDescent="0.2">
      <c r="A76" s="114" t="s">
        <v>181</v>
      </c>
      <c r="B76" s="29" t="s">
        <v>182</v>
      </c>
      <c r="C76" s="29"/>
      <c r="D76" s="111" t="s">
        <v>77</v>
      </c>
      <c r="E76" s="136">
        <v>66</v>
      </c>
      <c r="F76" s="31">
        <f>-24850876.92-10519875.61</f>
        <v>-35370752.530000001</v>
      </c>
      <c r="G76" s="121"/>
      <c r="H76" s="121"/>
      <c r="I76" s="121"/>
      <c r="J76" s="121"/>
    </row>
    <row r="77" spans="1:10" s="65" customFormat="1" ht="3.95" customHeight="1" x14ac:dyDescent="0.2">
      <c r="A77" s="115"/>
      <c r="B77" s="129"/>
      <c r="C77" s="129"/>
      <c r="D77" s="164"/>
      <c r="E77" s="168"/>
      <c r="F77" s="116"/>
      <c r="G77" s="122"/>
      <c r="H77" s="122"/>
      <c r="I77" s="122"/>
      <c r="J77" s="122"/>
    </row>
    <row r="78" spans="1:10" s="65" customFormat="1" x14ac:dyDescent="0.2">
      <c r="A78" s="137"/>
      <c r="B78" s="169" t="s">
        <v>183</v>
      </c>
      <c r="C78" s="166"/>
      <c r="D78" s="166"/>
      <c r="E78" s="170" t="s">
        <v>184</v>
      </c>
      <c r="F78" s="109">
        <f>F73+F76</f>
        <v>-2513707.2400000021</v>
      </c>
      <c r="G78" s="171"/>
      <c r="H78" s="171"/>
      <c r="I78" s="171"/>
      <c r="J78" s="171"/>
    </row>
    <row r="79" spans="1:10" s="65" customFormat="1" ht="3" customHeight="1" thickBot="1" x14ac:dyDescent="0.25">
      <c r="A79" s="172"/>
      <c r="B79" s="154"/>
      <c r="C79" s="154"/>
      <c r="D79" s="154"/>
      <c r="E79" s="144"/>
      <c r="F79" s="155"/>
      <c r="G79" s="173"/>
      <c r="H79" s="173"/>
      <c r="I79" s="173"/>
      <c r="J79" s="173"/>
    </row>
    <row r="80" spans="1:10" s="65" customFormat="1" ht="15.95" customHeight="1" thickTop="1" x14ac:dyDescent="0.2">
      <c r="A80" s="29"/>
      <c r="B80" s="166"/>
      <c r="C80" s="166"/>
      <c r="D80" s="166"/>
      <c r="E80" s="167"/>
      <c r="F80" s="29"/>
      <c r="G80" s="29"/>
      <c r="H80" s="29"/>
      <c r="I80" s="29"/>
      <c r="J80" s="29"/>
    </row>
    <row r="81" spans="1:10" x14ac:dyDescent="0.2">
      <c r="A81" s="127" t="s">
        <v>185</v>
      </c>
      <c r="B81" s="146"/>
      <c r="C81" s="146"/>
      <c r="D81" s="146"/>
      <c r="E81" s="147"/>
      <c r="F81" s="146"/>
      <c r="G81" s="146"/>
      <c r="H81" s="146"/>
      <c r="I81" s="206"/>
      <c r="J81" s="124"/>
    </row>
    <row r="82" spans="1:10" ht="3" customHeight="1" x14ac:dyDescent="0.2">
      <c r="A82" s="115"/>
      <c r="B82" s="129"/>
      <c r="C82" s="129"/>
      <c r="D82" s="129"/>
      <c r="E82" s="149"/>
      <c r="F82" s="129"/>
      <c r="G82" s="129"/>
      <c r="H82" s="129"/>
      <c r="I82" s="204"/>
      <c r="J82" s="125"/>
    </row>
    <row r="83" spans="1:10" s="65" customFormat="1" x14ac:dyDescent="0.2">
      <c r="A83" s="114"/>
      <c r="B83" s="131" t="s">
        <v>144</v>
      </c>
      <c r="C83" s="29"/>
      <c r="D83" s="135"/>
      <c r="E83" s="174"/>
      <c r="F83" s="31">
        <f t="shared" ref="F83:H83" si="9">+F19</f>
        <v>58760906.730000153</v>
      </c>
      <c r="G83" s="31">
        <f t="shared" si="9"/>
        <v>53563246.340000167</v>
      </c>
      <c r="H83" s="31">
        <f t="shared" si="9"/>
        <v>106296029.77999973</v>
      </c>
      <c r="I83" s="31">
        <f t="shared" ref="I83:J83" si="10">+I19</f>
        <v>224030440.1999999</v>
      </c>
      <c r="J83" s="31">
        <f t="shared" si="10"/>
        <v>161742864.75000036</v>
      </c>
    </row>
    <row r="84" spans="1:10" s="65" customFormat="1" x14ac:dyDescent="0.2">
      <c r="A84" s="114"/>
      <c r="B84" s="131" t="s">
        <v>238</v>
      </c>
      <c r="C84" s="29"/>
      <c r="D84" s="135"/>
      <c r="E84" s="174"/>
      <c r="F84" s="31">
        <f t="shared" ref="F84:H84" si="11">+F58</f>
        <v>-48537116.410000004</v>
      </c>
      <c r="G84" s="31">
        <f t="shared" si="11"/>
        <v>-102045826.97</v>
      </c>
      <c r="H84" s="31">
        <f t="shared" si="11"/>
        <v>-111301358.31999998</v>
      </c>
      <c r="I84" s="31">
        <f t="shared" ref="I84:J84" si="12">+I58</f>
        <v>-111585031.11999999</v>
      </c>
      <c r="J84" s="31">
        <f>+J58</f>
        <v>-100476626.13999999</v>
      </c>
    </row>
    <row r="85" spans="1:10" s="65" customFormat="1" x14ac:dyDescent="0.2">
      <c r="A85" s="114"/>
      <c r="B85" s="131" t="s">
        <v>240</v>
      </c>
      <c r="C85" s="29"/>
      <c r="D85" s="135"/>
      <c r="E85" s="174"/>
      <c r="F85" s="31">
        <f t="shared" ref="F85:H85" si="13">+F68</f>
        <v>32818739.909999996</v>
      </c>
      <c r="G85" s="31">
        <f t="shared" si="13"/>
        <v>19687648.710000001</v>
      </c>
      <c r="H85" s="31">
        <f t="shared" si="13"/>
        <v>32247355.219999999</v>
      </c>
      <c r="I85" s="31">
        <f t="shared" ref="I85:J85" si="14">+I68</f>
        <v>21659633.290000003</v>
      </c>
      <c r="J85" s="31">
        <f>+J68</f>
        <v>16539258.870000001</v>
      </c>
    </row>
    <row r="86" spans="1:10" s="65" customFormat="1" x14ac:dyDescent="0.2">
      <c r="A86" s="114"/>
      <c r="B86" s="131" t="s">
        <v>237</v>
      </c>
      <c r="C86" s="29"/>
      <c r="D86" s="135"/>
      <c r="E86" s="174"/>
      <c r="F86" s="31">
        <f>+F78</f>
        <v>-2513707.2400000021</v>
      </c>
      <c r="G86" s="121"/>
      <c r="H86" s="121"/>
      <c r="I86" s="121"/>
      <c r="J86" s="121"/>
    </row>
    <row r="87" spans="1:10" s="65" customFormat="1" ht="6" customHeight="1" x14ac:dyDescent="0.2">
      <c r="A87" s="115"/>
      <c r="B87" s="175"/>
      <c r="C87" s="129"/>
      <c r="D87" s="176"/>
      <c r="E87" s="177"/>
      <c r="F87" s="116"/>
      <c r="G87" s="122"/>
      <c r="H87" s="122"/>
      <c r="I87" s="122"/>
      <c r="J87" s="122"/>
    </row>
    <row r="88" spans="1:10" s="65" customFormat="1" ht="15" customHeight="1" x14ac:dyDescent="0.2">
      <c r="A88" s="178" t="s">
        <v>222</v>
      </c>
      <c r="B88" s="179" t="s">
        <v>186</v>
      </c>
      <c r="C88" s="139"/>
      <c r="D88" s="180"/>
      <c r="E88" s="141"/>
      <c r="F88" s="112">
        <f t="shared" ref="F88:H88" si="15">SUM(F83:F86)</f>
        <v>40528822.990000144</v>
      </c>
      <c r="G88" s="112">
        <f t="shared" si="15"/>
        <v>-28794931.91999983</v>
      </c>
      <c r="H88" s="112">
        <f t="shared" si="15"/>
        <v>27242026.679999754</v>
      </c>
      <c r="I88" s="112">
        <f>SUM(I83:I86)</f>
        <v>134105042.36999992</v>
      </c>
      <c r="J88" s="112">
        <f>SUM(J83:J86)</f>
        <v>77805497.480000377</v>
      </c>
    </row>
    <row r="89" spans="1:10" s="65" customFormat="1" ht="3.95" customHeight="1" thickBot="1" x14ac:dyDescent="0.25">
      <c r="A89" s="172"/>
      <c r="B89" s="154"/>
      <c r="C89" s="154"/>
      <c r="D89" s="154"/>
      <c r="E89" s="144"/>
      <c r="F89" s="155"/>
      <c r="G89" s="155"/>
      <c r="H89" s="155"/>
      <c r="I89" s="155"/>
      <c r="J89" s="155"/>
    </row>
    <row r="90" spans="1:10" s="65" customFormat="1" ht="15.95" customHeight="1" thickTop="1" x14ac:dyDescent="0.2">
      <c r="A90" s="29"/>
      <c r="B90" s="166"/>
      <c r="C90" s="166"/>
      <c r="D90" s="166"/>
      <c r="E90" s="167"/>
      <c r="F90" s="29"/>
      <c r="G90" s="29"/>
      <c r="H90" s="29"/>
      <c r="I90" s="29"/>
      <c r="J90" s="29"/>
    </row>
    <row r="91" spans="1:10" x14ac:dyDescent="0.2">
      <c r="A91" s="181" t="s">
        <v>187</v>
      </c>
      <c r="B91" s="182"/>
      <c r="C91" s="182"/>
      <c r="D91" s="182"/>
      <c r="E91" s="183"/>
      <c r="F91" s="182"/>
      <c r="G91" s="182"/>
      <c r="H91" s="182"/>
      <c r="I91" s="182"/>
      <c r="J91" s="120"/>
    </row>
    <row r="92" spans="1:10" ht="3" customHeight="1" x14ac:dyDescent="0.2">
      <c r="A92" s="115"/>
      <c r="B92" s="129"/>
      <c r="C92" s="129"/>
      <c r="D92" s="129"/>
      <c r="E92" s="149"/>
      <c r="F92" s="129"/>
      <c r="G92" s="129"/>
      <c r="H92" s="129"/>
      <c r="I92" s="129"/>
      <c r="J92" s="150"/>
    </row>
    <row r="93" spans="1:10" s="65" customFormat="1" x14ac:dyDescent="0.2">
      <c r="A93" s="184" t="s">
        <v>188</v>
      </c>
      <c r="B93" s="29"/>
      <c r="C93" s="29"/>
      <c r="D93" s="185"/>
      <c r="E93" s="185"/>
      <c r="F93" s="118"/>
      <c r="G93" s="118"/>
      <c r="H93" s="118"/>
      <c r="I93" s="117"/>
      <c r="J93" s="117"/>
    </row>
    <row r="94" spans="1:10" s="65" customFormat="1" x14ac:dyDescent="0.2">
      <c r="A94" s="114" t="s">
        <v>189</v>
      </c>
      <c r="B94" s="29"/>
      <c r="C94" s="29"/>
      <c r="D94" s="185"/>
      <c r="E94" s="185"/>
      <c r="F94" s="31">
        <f>803492742.79+881178883.21</f>
        <v>1684671626</v>
      </c>
      <c r="G94" s="31">
        <v>1703211843.6900001</v>
      </c>
      <c r="H94" s="31">
        <v>1656347705.5599999</v>
      </c>
      <c r="I94" s="104">
        <v>1671041419.2</v>
      </c>
      <c r="J94" s="104">
        <v>1803860133.27</v>
      </c>
    </row>
    <row r="95" spans="1:10" s="65" customFormat="1" x14ac:dyDescent="0.2">
      <c r="A95" s="27" t="s">
        <v>190</v>
      </c>
      <c r="B95" s="29"/>
      <c r="C95" s="29"/>
      <c r="D95" s="185"/>
      <c r="E95" s="185"/>
      <c r="F95" s="31">
        <f>+F88</f>
        <v>40528822.990000144</v>
      </c>
      <c r="G95" s="31">
        <f t="shared" ref="G95:I95" si="16">+G88</f>
        <v>-28794931.91999983</v>
      </c>
      <c r="H95" s="31">
        <f t="shared" si="16"/>
        <v>27242026.679999754</v>
      </c>
      <c r="I95" s="31">
        <f t="shared" si="16"/>
        <v>134105042.36999992</v>
      </c>
      <c r="J95" s="31">
        <f t="shared" ref="J95" si="17">+J88</f>
        <v>77805497.480000377</v>
      </c>
    </row>
    <row r="96" spans="1:10" s="65" customFormat="1" x14ac:dyDescent="0.2">
      <c r="A96" s="27" t="s">
        <v>191</v>
      </c>
      <c r="B96" s="29"/>
      <c r="C96" s="29"/>
      <c r="D96" s="186" t="s">
        <v>129</v>
      </c>
      <c r="E96" s="185" t="s">
        <v>192</v>
      </c>
      <c r="F96" s="31">
        <f>-2100846.03+2100846.03</f>
        <v>0</v>
      </c>
      <c r="G96" s="31"/>
      <c r="H96" s="31"/>
      <c r="I96" s="31"/>
      <c r="J96" s="31"/>
    </row>
    <row r="97" spans="1:10" s="65" customFormat="1" ht="13.15" customHeight="1" x14ac:dyDescent="0.2">
      <c r="A97" s="27" t="s">
        <v>252</v>
      </c>
      <c r="B97" s="29"/>
      <c r="C97" s="29"/>
      <c r="D97" s="185"/>
      <c r="E97" s="185"/>
      <c r="F97" s="31"/>
      <c r="G97" s="31"/>
      <c r="H97" s="31"/>
      <c r="I97" s="31"/>
      <c r="J97" s="31"/>
    </row>
    <row r="98" spans="1:10" s="65" customFormat="1" ht="13.15" customHeight="1" x14ac:dyDescent="0.2">
      <c r="A98" s="27" t="s">
        <v>198</v>
      </c>
      <c r="B98" s="29"/>
      <c r="C98" s="29"/>
      <c r="D98" s="185" t="s">
        <v>126</v>
      </c>
      <c r="E98" s="185"/>
      <c r="F98" s="31">
        <f>17306209.11</f>
        <v>17306209.109999999</v>
      </c>
      <c r="G98" s="31">
        <v>24486179.539999999</v>
      </c>
      <c r="H98" s="31">
        <v>27790411.73</v>
      </c>
      <c r="I98" s="104">
        <v>37707421.299999997</v>
      </c>
      <c r="J98" s="104">
        <v>29371724.510000002</v>
      </c>
    </row>
    <row r="99" spans="1:10" s="65" customFormat="1" x14ac:dyDescent="0.2">
      <c r="A99" s="27" t="s">
        <v>199</v>
      </c>
      <c r="B99" s="29"/>
      <c r="C99" s="29"/>
      <c r="D99" s="185"/>
      <c r="E99" s="185"/>
      <c r="F99" s="31"/>
      <c r="G99" s="31"/>
      <c r="H99" s="31"/>
      <c r="I99" s="31"/>
      <c r="J99" s="31"/>
    </row>
    <row r="100" spans="1:10" s="65" customFormat="1" x14ac:dyDescent="0.2">
      <c r="A100" s="27" t="s">
        <v>198</v>
      </c>
      <c r="B100" s="29"/>
      <c r="C100" s="29"/>
      <c r="D100" s="185" t="s">
        <v>77</v>
      </c>
      <c r="E100" s="185"/>
      <c r="F100" s="31">
        <f>-45526742.41</f>
        <v>-45526742.409999996</v>
      </c>
      <c r="G100" s="31">
        <v>-42555385.740000002</v>
      </c>
      <c r="H100" s="31">
        <v>-41938724.979999997</v>
      </c>
      <c r="I100" s="119">
        <v>-27353066.780000001</v>
      </c>
      <c r="J100" s="119">
        <v>-36109431.020000003</v>
      </c>
    </row>
    <row r="101" spans="1:10" s="65" customFormat="1" ht="3.95" customHeight="1" x14ac:dyDescent="0.2">
      <c r="A101" s="114"/>
      <c r="B101" s="129"/>
      <c r="C101" s="29"/>
      <c r="D101" s="185"/>
      <c r="E101" s="185"/>
      <c r="F101" s="118"/>
      <c r="G101" s="118"/>
      <c r="H101" s="118"/>
      <c r="I101" s="116"/>
      <c r="J101" s="116"/>
    </row>
    <row r="102" spans="1:10" s="65" customFormat="1" ht="12.75" customHeight="1" x14ac:dyDescent="0.2">
      <c r="A102" s="187" t="s">
        <v>193</v>
      </c>
      <c r="B102" s="29"/>
      <c r="C102" s="188"/>
      <c r="D102" s="189"/>
      <c r="E102" s="190"/>
      <c r="F102" s="117"/>
      <c r="G102" s="117"/>
      <c r="H102" s="117"/>
      <c r="I102" s="118"/>
      <c r="J102" s="118"/>
    </row>
    <row r="103" spans="1:10" s="65" customFormat="1" ht="12.75" customHeight="1" x14ac:dyDescent="0.2">
      <c r="A103" s="178" t="s">
        <v>194</v>
      </c>
      <c r="B103" s="29"/>
      <c r="C103" s="191"/>
      <c r="D103" s="192" t="s">
        <v>154</v>
      </c>
      <c r="E103" s="193" t="s">
        <v>195</v>
      </c>
      <c r="F103" s="109">
        <f t="shared" ref="F103:H103" si="18">SUM(F94:F100)</f>
        <v>1696979915.6900001</v>
      </c>
      <c r="G103" s="109">
        <f t="shared" si="18"/>
        <v>1656347705.5700002</v>
      </c>
      <c r="H103" s="109">
        <f t="shared" si="18"/>
        <v>1669441418.9899998</v>
      </c>
      <c r="I103" s="109">
        <f>SUM(I94:I100)</f>
        <v>1815500816.0899999</v>
      </c>
      <c r="J103" s="109">
        <f>SUM(J94:J100)</f>
        <v>1874927924.2400005</v>
      </c>
    </row>
    <row r="104" spans="1:10" s="65" customFormat="1" ht="3.95" customHeight="1" thickBot="1" x14ac:dyDescent="0.25">
      <c r="A104" s="66"/>
      <c r="B104" s="67"/>
      <c r="C104" s="68"/>
      <c r="D104" s="68"/>
      <c r="E104" s="69"/>
      <c r="F104" s="70"/>
      <c r="G104" s="70"/>
      <c r="H104" s="70"/>
      <c r="I104" s="70"/>
      <c r="J104" s="70"/>
    </row>
    <row r="105" spans="1:10" ht="13.5" thickTop="1" x14ac:dyDescent="0.2"/>
  </sheetData>
  <mergeCells count="1">
    <mergeCell ref="A3:E3"/>
  </mergeCells>
  <pageMargins left="0.47244094488188981" right="0" top="0.63" bottom="0.25" header="0.31496062992125984" footer="0.11811023622047245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 - actief</vt:lpstr>
      <vt:lpstr>Balans -passief</vt:lpstr>
      <vt:lpstr>Resultatenrekening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2022-12-06T12:44:10Z</cp:lastPrinted>
  <dcterms:created xsi:type="dcterms:W3CDTF">2018-03-02T13:01:40Z</dcterms:created>
  <dcterms:modified xsi:type="dcterms:W3CDTF">2022-12-06T12:44:16Z</dcterms:modified>
</cp:coreProperties>
</file>